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mily Burchfield\Dropbox\Vanderbilt\Dissertation\Method\ABM\project\data\"/>
    </mc:Choice>
  </mc:AlternateContent>
  <bookViews>
    <workbookView xWindow="0" yWindow="0" windowWidth="24000" windowHeight="9435" activeTab="6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ekb_summary" sheetId="7" r:id="rId7"/>
  </sheets>
  <definedNames>
    <definedName name="_xlnm._FilterDatabase" localSheetId="0" hidden="1">'Table 1'!#REF!</definedName>
  </definedNames>
  <calcPr calcId="152511"/>
</workbook>
</file>

<file path=xl/calcChain.xml><?xml version="1.0" encoding="utf-8"?>
<calcChain xmlns="http://schemas.openxmlformats.org/spreadsheetml/2006/main">
  <c r="D264" i="7" l="1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1" i="7"/>
  <c r="D220" i="7"/>
  <c r="D219" i="7"/>
  <c r="D217" i="7"/>
  <c r="D216" i="7"/>
  <c r="D215" i="7"/>
  <c r="D214" i="7"/>
  <c r="D213" i="7"/>
  <c r="D212" i="7"/>
  <c r="D211" i="7"/>
  <c r="D210" i="7"/>
  <c r="D204" i="7"/>
  <c r="D203" i="7"/>
  <c r="D202" i="7"/>
  <c r="D201" i="7"/>
  <c r="D200" i="7"/>
  <c r="D199" i="7"/>
  <c r="D198" i="7"/>
  <c r="D197" i="7"/>
  <c r="D196" i="7"/>
  <c r="D195" i="7"/>
  <c r="D194" i="7"/>
  <c r="D189" i="7"/>
  <c r="D188" i="7"/>
  <c r="D187" i="7"/>
  <c r="D186" i="7"/>
  <c r="D185" i="7"/>
  <c r="D184" i="7"/>
  <c r="D180" i="7"/>
  <c r="D177" i="7"/>
  <c r="D176" i="7"/>
  <c r="D174" i="7"/>
  <c r="D173" i="7"/>
  <c r="D172" i="7"/>
  <c r="D171" i="7"/>
  <c r="D170" i="7"/>
  <c r="D169" i="7"/>
  <c r="D166" i="7"/>
  <c r="D165" i="7"/>
  <c r="D164" i="7"/>
  <c r="D163" i="7"/>
  <c r="D161" i="7"/>
  <c r="D157" i="7"/>
  <c r="D155" i="7"/>
  <c r="D154" i="7"/>
  <c r="D152" i="7"/>
  <c r="D151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6" i="7"/>
  <c r="D125" i="7"/>
  <c r="D124" i="7"/>
  <c r="D123" i="7"/>
  <c r="D122" i="7"/>
  <c r="D121" i="7"/>
  <c r="D120" i="7"/>
  <c r="D116" i="7"/>
  <c r="D115" i="7"/>
  <c r="D114" i="7"/>
  <c r="D112" i="7"/>
  <c r="D105" i="7"/>
  <c r="D103" i="7"/>
  <c r="D101" i="7"/>
  <c r="D99" i="7"/>
  <c r="D98" i="7"/>
  <c r="D97" i="7"/>
  <c r="D96" i="7"/>
  <c r="D95" i="7"/>
  <c r="D94" i="7"/>
  <c r="D93" i="7"/>
  <c r="D92" i="7"/>
  <c r="D91" i="7"/>
  <c r="D90" i="7"/>
  <c r="D89" i="7"/>
  <c r="D87" i="7"/>
  <c r="D86" i="7"/>
  <c r="D85" i="7"/>
  <c r="D83" i="7"/>
  <c r="D82" i="7"/>
  <c r="D81" i="7"/>
  <c r="D80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2" i="7"/>
  <c r="D60" i="7"/>
  <c r="D59" i="7"/>
  <c r="D58" i="7"/>
  <c r="D57" i="7"/>
  <c r="D56" i="7"/>
  <c r="D54" i="7"/>
  <c r="D52" i="7"/>
  <c r="D49" i="7"/>
  <c r="D47" i="7"/>
  <c r="D46" i="7"/>
  <c r="D45" i="7"/>
  <c r="D44" i="7"/>
  <c r="D43" i="7"/>
  <c r="D42" i="7"/>
  <c r="D41" i="7"/>
  <c r="D39" i="7"/>
  <c r="D38" i="7"/>
  <c r="D36" i="7"/>
  <c r="D35" i="7"/>
  <c r="D34" i="7"/>
  <c r="D32" i="7"/>
  <c r="D31" i="7"/>
  <c r="D30" i="7"/>
  <c r="D29" i="7"/>
  <c r="D28" i="7"/>
  <c r="D27" i="7"/>
  <c r="D24" i="7"/>
  <c r="D21" i="7"/>
  <c r="D20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  <c r="C242" i="7"/>
  <c r="C145" i="7"/>
  <c r="M279" i="3" l="1"/>
  <c r="F279" i="3"/>
  <c r="M278" i="3"/>
  <c r="F278" i="3"/>
  <c r="M277" i="3"/>
  <c r="I277" i="3"/>
  <c r="F277" i="3"/>
  <c r="M276" i="3"/>
  <c r="F276" i="3"/>
  <c r="M275" i="3"/>
  <c r="F275" i="3"/>
  <c r="M274" i="3"/>
  <c r="I274" i="3"/>
  <c r="F274" i="3"/>
  <c r="M273" i="3"/>
  <c r="F273" i="3"/>
  <c r="M272" i="3"/>
  <c r="F272" i="3"/>
  <c r="M271" i="3"/>
  <c r="F271" i="3"/>
  <c r="M270" i="3"/>
  <c r="M269" i="3"/>
  <c r="F269" i="3"/>
  <c r="M268" i="3"/>
  <c r="M267" i="3"/>
  <c r="I267" i="3"/>
  <c r="F267" i="3"/>
  <c r="M265" i="3"/>
  <c r="I265" i="3"/>
  <c r="F265" i="3"/>
  <c r="AK264" i="3"/>
  <c r="M264" i="3"/>
  <c r="M263" i="3"/>
  <c r="F263" i="3"/>
  <c r="E263" i="3"/>
  <c r="M262" i="3"/>
  <c r="F262" i="3"/>
  <c r="M261" i="3"/>
  <c r="M260" i="3"/>
  <c r="F260" i="3"/>
  <c r="E260" i="3"/>
  <c r="BU259" i="3"/>
  <c r="AK259" i="3"/>
  <c r="M259" i="3"/>
  <c r="BU258" i="3"/>
  <c r="BM258" i="3"/>
  <c r="BJ258" i="3"/>
  <c r="M258" i="3"/>
  <c r="F258" i="3"/>
  <c r="BB257" i="3"/>
  <c r="M257" i="3"/>
  <c r="I257" i="3"/>
  <c r="F257" i="3"/>
  <c r="M256" i="3"/>
  <c r="K256" i="3"/>
  <c r="F256" i="3"/>
  <c r="B256" i="3"/>
  <c r="M255" i="3"/>
  <c r="F255" i="3"/>
  <c r="B255" i="3"/>
  <c r="M254" i="3"/>
  <c r="F254" i="3"/>
  <c r="M253" i="3"/>
  <c r="F253" i="3"/>
  <c r="M252" i="3"/>
  <c r="F252" i="3"/>
  <c r="M251" i="3"/>
  <c r="L251" i="3"/>
  <c r="F251" i="3"/>
  <c r="BI133" i="3" l="1"/>
  <c r="C278" i="6" l="1"/>
  <c r="C263" i="6" l="1"/>
  <c r="G144" i="5" l="1"/>
  <c r="C251" i="5" l="1"/>
  <c r="C100" i="5" l="1"/>
  <c r="C275" i="6" l="1"/>
  <c r="C274" i="6"/>
  <c r="C273" i="6"/>
  <c r="C272" i="6"/>
  <c r="C271" i="6"/>
  <c r="C270" i="6"/>
  <c r="C269" i="6"/>
  <c r="C268" i="6"/>
  <c r="C267" i="6"/>
  <c r="C266" i="6"/>
  <c r="C265" i="6"/>
  <c r="C262" i="6" l="1"/>
  <c r="C261" i="6"/>
  <c r="D260" i="6"/>
  <c r="C259" i="6"/>
  <c r="J257" i="6"/>
  <c r="E256" i="6"/>
  <c r="E255" i="6"/>
  <c r="J254" i="6"/>
  <c r="C254" i="6"/>
  <c r="C253" i="6"/>
  <c r="C252" i="6"/>
  <c r="J251" i="6"/>
  <c r="C251" i="6"/>
  <c r="C250" i="6"/>
  <c r="C247" i="6" l="1"/>
  <c r="J246" i="6"/>
  <c r="C246" i="6"/>
  <c r="C244" i="6"/>
  <c r="C243" i="6"/>
  <c r="C242" i="6"/>
  <c r="C241" i="6"/>
  <c r="J240" i="6"/>
  <c r="C240" i="6"/>
  <c r="C239" i="6"/>
  <c r="C236" i="6"/>
  <c r="C234" i="6"/>
  <c r="C231" i="6"/>
  <c r="C229" i="6"/>
  <c r="C228" i="6"/>
  <c r="E222" i="6"/>
  <c r="C221" i="6"/>
  <c r="C220" i="6"/>
  <c r="C219" i="6"/>
  <c r="BI249" i="3"/>
  <c r="BG249" i="3"/>
  <c r="AW249" i="3"/>
  <c r="M249" i="3"/>
  <c r="F249" i="3"/>
  <c r="M248" i="3"/>
  <c r="I248" i="3"/>
  <c r="F248" i="3"/>
  <c r="E248" i="3"/>
  <c r="M247" i="3"/>
  <c r="I247" i="3"/>
  <c r="F247" i="3"/>
  <c r="E247" i="3"/>
  <c r="M246" i="3"/>
  <c r="I246" i="3"/>
  <c r="F246" i="3"/>
  <c r="E246" i="3"/>
  <c r="M245" i="3"/>
  <c r="I245" i="3"/>
  <c r="F245" i="3"/>
  <c r="E245" i="3"/>
  <c r="M244" i="3"/>
  <c r="F244" i="3"/>
  <c r="E244" i="3"/>
  <c r="M243" i="3"/>
  <c r="F243" i="3"/>
  <c r="M242" i="3"/>
  <c r="I242" i="3"/>
  <c r="F242" i="3"/>
  <c r="E242" i="3"/>
  <c r="M241" i="3"/>
  <c r="I241" i="3"/>
  <c r="F241" i="3"/>
  <c r="E241" i="3"/>
  <c r="M240" i="3"/>
  <c r="I240" i="3"/>
  <c r="F240" i="3"/>
  <c r="E240" i="3"/>
  <c r="Y239" i="3"/>
  <c r="U239" i="3"/>
  <c r="S239" i="3"/>
  <c r="Q239" i="3"/>
  <c r="M239" i="3"/>
  <c r="I239" i="3"/>
  <c r="F239" i="3"/>
  <c r="E239" i="3"/>
  <c r="Y238" i="3"/>
  <c r="U238" i="3"/>
  <c r="R238" i="3"/>
  <c r="Q238" i="3"/>
  <c r="M238" i="3"/>
  <c r="I238" i="3"/>
  <c r="F238" i="3"/>
  <c r="E238" i="3"/>
  <c r="M237" i="3"/>
  <c r="F237" i="3"/>
  <c r="M236" i="3"/>
  <c r="I236" i="3"/>
  <c r="F236" i="3"/>
  <c r="E236" i="3"/>
  <c r="Y235" i="3"/>
  <c r="U235" i="3"/>
  <c r="R235" i="3"/>
  <c r="Q235" i="3"/>
  <c r="I235" i="3"/>
  <c r="F235" i="3"/>
  <c r="E235" i="3"/>
  <c r="M234" i="3"/>
  <c r="I234" i="3"/>
  <c r="F234" i="3"/>
  <c r="E234" i="3"/>
  <c r="M233" i="3"/>
  <c r="I233" i="3"/>
  <c r="F233" i="3"/>
  <c r="E233" i="3"/>
  <c r="M232" i="3"/>
  <c r="I232" i="3"/>
  <c r="F232" i="3"/>
  <c r="E232" i="3"/>
  <c r="B232" i="3"/>
  <c r="Y231" i="3"/>
  <c r="U231" i="3"/>
  <c r="R231" i="3"/>
  <c r="Q231" i="3"/>
  <c r="Y230" i="3"/>
  <c r="U230" i="3"/>
  <c r="R230" i="3"/>
  <c r="Q230" i="3"/>
  <c r="M230" i="3"/>
  <c r="I230" i="3"/>
  <c r="F230" i="3"/>
  <c r="E230" i="3"/>
  <c r="M229" i="3"/>
  <c r="F229" i="3"/>
  <c r="AO228" i="3"/>
  <c r="M228" i="3"/>
  <c r="I228" i="3"/>
  <c r="F228" i="3"/>
  <c r="E228" i="3"/>
  <c r="M227" i="3"/>
  <c r="I227" i="3"/>
  <c r="F227" i="3"/>
  <c r="E227" i="3"/>
  <c r="Y226" i="3"/>
  <c r="U226" i="3"/>
  <c r="R226" i="3"/>
  <c r="Q226" i="3"/>
  <c r="M226" i="3"/>
  <c r="I226" i="3"/>
  <c r="F226" i="3"/>
  <c r="E226" i="3"/>
  <c r="M225" i="3"/>
  <c r="I225" i="3"/>
  <c r="F225" i="3"/>
  <c r="E225" i="3"/>
  <c r="M224" i="3"/>
  <c r="I224" i="3"/>
  <c r="F224" i="3"/>
  <c r="E224" i="3"/>
  <c r="AK223" i="3"/>
  <c r="AG223" i="3"/>
  <c r="M223" i="3"/>
  <c r="I223" i="3"/>
  <c r="F223" i="3"/>
  <c r="E223" i="3"/>
  <c r="AD222" i="3"/>
  <c r="I222" i="3"/>
  <c r="E222" i="3"/>
  <c r="I221" i="3"/>
  <c r="B221" i="3"/>
  <c r="C217" i="6" l="1"/>
  <c r="C216" i="6"/>
  <c r="C215" i="6"/>
  <c r="C214" i="6"/>
  <c r="C212" i="6"/>
  <c r="C211" i="6"/>
  <c r="C209" i="6"/>
  <c r="C208" i="6"/>
  <c r="C207" i="6"/>
  <c r="C206" i="6"/>
  <c r="C204" i="6"/>
  <c r="Y219" i="3"/>
  <c r="Y218" i="3"/>
  <c r="R218" i="3"/>
  <c r="F217" i="3"/>
  <c r="M216" i="3"/>
  <c r="F216" i="3"/>
  <c r="M215" i="3"/>
  <c r="F215" i="3"/>
  <c r="E215" i="3"/>
  <c r="M214" i="3"/>
  <c r="I214" i="3"/>
  <c r="F214" i="3"/>
  <c r="E214" i="3"/>
  <c r="M213" i="3"/>
  <c r="F213" i="3"/>
  <c r="M212" i="3"/>
  <c r="F212" i="3"/>
  <c r="E212" i="3"/>
  <c r="M211" i="3"/>
  <c r="F211" i="3"/>
  <c r="M210" i="3"/>
  <c r="F210" i="3"/>
  <c r="M209" i="3"/>
  <c r="F209" i="3"/>
  <c r="M208" i="3"/>
  <c r="I208" i="3"/>
  <c r="F208" i="3"/>
  <c r="E208" i="3"/>
  <c r="M207" i="3"/>
  <c r="F207" i="3"/>
  <c r="E207" i="3"/>
  <c r="Y206" i="3"/>
  <c r="R206" i="3"/>
  <c r="M206" i="3"/>
  <c r="F206" i="3"/>
  <c r="C202" i="6" l="1"/>
  <c r="C200" i="6"/>
  <c r="C198" i="6"/>
  <c r="C197" i="6"/>
  <c r="C196" i="6"/>
  <c r="C195" i="6"/>
  <c r="C194" i="6"/>
  <c r="C193" i="6"/>
  <c r="E192" i="6"/>
  <c r="C192" i="6"/>
  <c r="Y204" i="3"/>
  <c r="R204" i="3"/>
  <c r="Y203" i="3"/>
  <c r="BI202" i="3"/>
  <c r="Y201" i="3"/>
  <c r="R201" i="3"/>
  <c r="Y200" i="3"/>
  <c r="U200" i="3"/>
  <c r="M200" i="3"/>
  <c r="M199" i="3"/>
  <c r="F199" i="3"/>
  <c r="B199" i="3"/>
  <c r="Y198" i="3"/>
  <c r="R198" i="3"/>
  <c r="N198" i="3"/>
  <c r="M198" i="3"/>
  <c r="F198" i="3"/>
  <c r="E198" i="3"/>
  <c r="B198" i="3"/>
  <c r="BE197" i="3"/>
  <c r="M197" i="3"/>
  <c r="L197" i="3"/>
  <c r="I197" i="3"/>
  <c r="F197" i="3"/>
  <c r="B197" i="3"/>
  <c r="M196" i="3"/>
  <c r="F196" i="3"/>
  <c r="M195" i="3"/>
  <c r="F195" i="3"/>
  <c r="Y194" i="3"/>
  <c r="F194" i="3"/>
  <c r="C190" i="6" l="1"/>
  <c r="C189" i="6"/>
  <c r="C188" i="6"/>
  <c r="C186" i="6"/>
  <c r="C183" i="6"/>
  <c r="C182" i="6"/>
  <c r="C180" i="6"/>
  <c r="C179" i="6"/>
  <c r="C178" i="6"/>
  <c r="C177" i="6"/>
  <c r="C176" i="6"/>
  <c r="C175" i="6"/>
  <c r="C174" i="6"/>
  <c r="C173" i="6"/>
  <c r="BI192" i="3"/>
  <c r="Y191" i="3"/>
  <c r="M190" i="3"/>
  <c r="F190" i="3"/>
  <c r="E190" i="3"/>
  <c r="Y189" i="3"/>
  <c r="Y188" i="3"/>
  <c r="U188" i="3"/>
  <c r="R188" i="3"/>
  <c r="F188" i="3"/>
  <c r="AW187" i="3"/>
  <c r="M187" i="3"/>
  <c r="F187" i="3"/>
  <c r="E187" i="3"/>
  <c r="BI186" i="3"/>
  <c r="Y186" i="3"/>
  <c r="U186" i="3"/>
  <c r="R186" i="3"/>
  <c r="M186" i="3"/>
  <c r="F186" i="3"/>
  <c r="Y185" i="3"/>
  <c r="U185" i="3"/>
  <c r="R185" i="3"/>
  <c r="I185" i="3"/>
  <c r="F185" i="3"/>
  <c r="Y184" i="3"/>
  <c r="M184" i="3"/>
  <c r="F184" i="3"/>
  <c r="E184" i="3"/>
  <c r="M183" i="3"/>
  <c r="F183" i="3"/>
  <c r="M182" i="3"/>
  <c r="E182" i="3"/>
  <c r="M181" i="3"/>
  <c r="AX180" i="3"/>
  <c r="M180" i="3"/>
  <c r="M179" i="3"/>
  <c r="BI178" i="3"/>
  <c r="Y177" i="3"/>
  <c r="M176" i="3"/>
  <c r="BI175" i="3"/>
  <c r="M175" i="3"/>
  <c r="F175" i="3"/>
  <c r="M174" i="3"/>
  <c r="F174" i="3"/>
  <c r="C170" i="6" l="1"/>
  <c r="C169" i="6"/>
  <c r="C165" i="6"/>
  <c r="C164" i="6"/>
  <c r="C163" i="6"/>
  <c r="C162" i="6"/>
  <c r="C160" i="6"/>
  <c r="C159" i="6"/>
  <c r="C158" i="6"/>
  <c r="C155" i="6"/>
  <c r="M172" i="3"/>
  <c r="F172" i="3"/>
  <c r="E172" i="3"/>
  <c r="Y171" i="3"/>
  <c r="R171" i="3"/>
  <c r="M170" i="3"/>
  <c r="F170" i="3"/>
  <c r="Y169" i="3"/>
  <c r="U169" i="3"/>
  <c r="R169" i="3"/>
  <c r="F168" i="3"/>
  <c r="Y167" i="3"/>
  <c r="U167" i="3"/>
  <c r="R167" i="3"/>
  <c r="Y166" i="3"/>
  <c r="M166" i="3"/>
  <c r="F166" i="3"/>
  <c r="E166" i="3"/>
  <c r="Y165" i="3"/>
  <c r="R165" i="3"/>
  <c r="M164" i="3"/>
  <c r="F164" i="3"/>
  <c r="E164" i="3"/>
  <c r="M163" i="3"/>
  <c r="F163" i="3"/>
  <c r="Y162" i="3"/>
  <c r="F162" i="3"/>
  <c r="Y161" i="3"/>
  <c r="M161" i="3"/>
  <c r="M160" i="3"/>
  <c r="F159" i="3"/>
  <c r="Y158" i="3"/>
  <c r="R158" i="3"/>
  <c r="AK157" i="3"/>
  <c r="C153" i="6" l="1"/>
  <c r="C152" i="6"/>
  <c r="C151" i="6"/>
  <c r="E149" i="6"/>
  <c r="C148" i="6"/>
  <c r="C147" i="6"/>
  <c r="C146" i="6"/>
  <c r="C145" i="6"/>
  <c r="E144" i="6"/>
  <c r="Y155" i="3"/>
  <c r="N155" i="3"/>
  <c r="M154" i="3"/>
  <c r="F154" i="3"/>
  <c r="E154" i="3"/>
  <c r="M153" i="3"/>
  <c r="K153" i="3"/>
  <c r="I153" i="3"/>
  <c r="F153" i="3"/>
  <c r="E153" i="3"/>
  <c r="B153" i="3"/>
  <c r="M152" i="3"/>
  <c r="F152" i="3"/>
  <c r="E152" i="3"/>
  <c r="B152" i="3"/>
  <c r="M151" i="3"/>
  <c r="F151" i="3"/>
  <c r="B151" i="3"/>
  <c r="M150" i="3"/>
  <c r="B150" i="3"/>
  <c r="M149" i="3"/>
  <c r="I149" i="3"/>
  <c r="F149" i="3"/>
  <c r="E149" i="3"/>
  <c r="Y148" i="3"/>
  <c r="R148" i="3"/>
  <c r="Q148" i="3"/>
  <c r="N148" i="3"/>
  <c r="M148" i="3"/>
  <c r="F148" i="3"/>
  <c r="M147" i="3"/>
  <c r="M146" i="3"/>
  <c r="E146" i="3"/>
  <c r="J151" i="2"/>
  <c r="C138" i="6" l="1"/>
  <c r="C137" i="6"/>
  <c r="C136" i="6"/>
  <c r="C133" i="6"/>
  <c r="C132" i="6"/>
  <c r="C131" i="6"/>
  <c r="C130" i="6"/>
  <c r="C129" i="6"/>
  <c r="J127" i="6"/>
  <c r="E127" i="6"/>
  <c r="C127" i="6"/>
  <c r="C126" i="6"/>
  <c r="C123" i="6"/>
  <c r="C122" i="6"/>
  <c r="E121" i="6"/>
  <c r="C121" i="6"/>
  <c r="E120" i="6"/>
  <c r="C120" i="6"/>
  <c r="C119" i="6"/>
  <c r="M144" i="3"/>
  <c r="M143" i="3"/>
  <c r="M142" i="3"/>
  <c r="U141" i="3"/>
  <c r="M141" i="3"/>
  <c r="BU140" i="3"/>
  <c r="M140" i="3"/>
  <c r="F140" i="3"/>
  <c r="E140" i="3"/>
  <c r="B140" i="3"/>
  <c r="M139" i="3"/>
  <c r="F139" i="3"/>
  <c r="B139" i="3"/>
  <c r="M138" i="3"/>
  <c r="F138" i="3"/>
  <c r="B138" i="3"/>
  <c r="Y137" i="3"/>
  <c r="R137" i="3"/>
  <c r="N137" i="3"/>
  <c r="M137" i="3"/>
  <c r="B137" i="3"/>
  <c r="M136" i="3"/>
  <c r="I136" i="3"/>
  <c r="F136" i="3"/>
  <c r="B136" i="3"/>
  <c r="M135" i="3"/>
  <c r="F135" i="3"/>
  <c r="Y134" i="3"/>
  <c r="N134" i="3"/>
  <c r="M133" i="3"/>
  <c r="F133" i="3"/>
  <c r="M132" i="3"/>
  <c r="F132" i="3"/>
  <c r="M131" i="3"/>
  <c r="F131" i="3"/>
  <c r="E131" i="3"/>
  <c r="M130" i="3"/>
  <c r="I130" i="3"/>
  <c r="F130" i="3"/>
  <c r="E130" i="3"/>
  <c r="Y129" i="3"/>
  <c r="U129" i="3"/>
  <c r="R129" i="3"/>
  <c r="Q129" i="3"/>
  <c r="M129" i="3"/>
  <c r="F129" i="3"/>
  <c r="E129" i="3"/>
  <c r="Y128" i="3"/>
  <c r="R128" i="3"/>
  <c r="M128" i="3"/>
  <c r="F128" i="3"/>
  <c r="M127" i="3"/>
  <c r="I127" i="3"/>
  <c r="F127" i="3"/>
  <c r="F126" i="3"/>
  <c r="E126" i="3"/>
  <c r="Y125" i="3"/>
  <c r="U125" i="3"/>
  <c r="Q125" i="3"/>
  <c r="N125" i="3"/>
  <c r="Y124" i="3"/>
  <c r="U124" i="3"/>
  <c r="R124" i="3"/>
  <c r="Q124" i="3"/>
  <c r="AK123" i="3"/>
  <c r="M123" i="3"/>
  <c r="F123" i="3"/>
  <c r="E123" i="3"/>
  <c r="BU122" i="3"/>
  <c r="M122" i="3"/>
  <c r="I122" i="3"/>
  <c r="F122" i="3"/>
  <c r="M121" i="3"/>
  <c r="F121" i="3"/>
  <c r="E121" i="3"/>
  <c r="C109" i="6" l="1"/>
  <c r="C108" i="6"/>
  <c r="C107" i="6"/>
  <c r="C106" i="6"/>
  <c r="C105" i="6"/>
  <c r="C103" i="6"/>
  <c r="C100" i="6"/>
  <c r="E95" i="6"/>
  <c r="C95" i="6"/>
  <c r="C89" i="6"/>
  <c r="M118" i="3"/>
  <c r="Y111" i="3"/>
  <c r="U111" i="3"/>
  <c r="R111" i="3"/>
  <c r="Q111" i="3"/>
  <c r="M111" i="3"/>
  <c r="I111" i="3"/>
  <c r="F111" i="3"/>
  <c r="E111" i="3"/>
  <c r="B111" i="3"/>
  <c r="I110" i="3"/>
  <c r="F110" i="3"/>
  <c r="E110" i="3"/>
  <c r="M109" i="3"/>
  <c r="I109" i="3"/>
  <c r="F109" i="3"/>
  <c r="E109" i="3"/>
  <c r="B109" i="3"/>
  <c r="Y108" i="3"/>
  <c r="U108" i="3"/>
  <c r="R108" i="3"/>
  <c r="F108" i="3"/>
  <c r="E108" i="3"/>
  <c r="Y107" i="3"/>
  <c r="U107" i="3"/>
  <c r="R107" i="3"/>
  <c r="Q107" i="3"/>
  <c r="N107" i="3"/>
  <c r="M107" i="3"/>
  <c r="I107" i="3"/>
  <c r="F107" i="3"/>
  <c r="E107" i="3"/>
  <c r="B107" i="3"/>
  <c r="U106" i="3"/>
  <c r="R106" i="3"/>
  <c r="Q106" i="3"/>
  <c r="I106" i="3"/>
  <c r="F106" i="3"/>
  <c r="E106" i="3"/>
  <c r="M105" i="3"/>
  <c r="F105" i="3"/>
  <c r="E105" i="3"/>
  <c r="B105" i="3"/>
  <c r="Y104" i="3"/>
  <c r="M104" i="3"/>
  <c r="AK103" i="3"/>
  <c r="M103" i="3"/>
  <c r="F103" i="3"/>
  <c r="Y102" i="3"/>
  <c r="M102" i="3"/>
  <c r="F102" i="3"/>
  <c r="M101" i="3"/>
  <c r="M100" i="3"/>
  <c r="AK99" i="3"/>
  <c r="M99" i="3"/>
  <c r="M98" i="3"/>
  <c r="M97" i="3"/>
  <c r="M96" i="3"/>
  <c r="AW95" i="3"/>
  <c r="Y95" i="3"/>
  <c r="M95" i="3"/>
  <c r="Y94" i="3"/>
  <c r="M93" i="3"/>
  <c r="Y92" i="3"/>
  <c r="M92" i="3"/>
  <c r="Y91" i="3"/>
  <c r="M91" i="3"/>
  <c r="Y90" i="3"/>
  <c r="M89" i="3"/>
  <c r="B89" i="3"/>
  <c r="Y88" i="3"/>
  <c r="M88" i="3"/>
  <c r="M87" i="3"/>
  <c r="M86" i="3"/>
  <c r="Y85" i="3"/>
  <c r="N85" i="3"/>
  <c r="C66" i="6"/>
  <c r="C81" i="6"/>
  <c r="C77" i="6"/>
  <c r="C76" i="6"/>
  <c r="C74" i="6"/>
  <c r="C73" i="6"/>
  <c r="C72" i="6"/>
  <c r="C69" i="6"/>
  <c r="C68" i="6"/>
  <c r="M68" i="3"/>
  <c r="M83" i="3"/>
  <c r="F83" i="3"/>
  <c r="M82" i="3"/>
  <c r="F82" i="3"/>
  <c r="M81" i="3"/>
  <c r="F81" i="3"/>
  <c r="M80" i="3"/>
  <c r="F80" i="3"/>
  <c r="M79" i="3"/>
  <c r="F79" i="3"/>
  <c r="M78" i="3"/>
  <c r="F78" i="3"/>
  <c r="M77" i="3"/>
  <c r="F77" i="3"/>
  <c r="M76" i="3"/>
  <c r="F76" i="3"/>
  <c r="M75" i="3"/>
  <c r="F75" i="3"/>
  <c r="M74" i="3"/>
  <c r="F74" i="3"/>
  <c r="M73" i="3"/>
  <c r="M72" i="3"/>
  <c r="F72" i="3"/>
  <c r="M71" i="3"/>
  <c r="F71" i="3"/>
  <c r="M70" i="3"/>
  <c r="F70" i="3"/>
  <c r="B70" i="3"/>
  <c r="C65" i="6" l="1"/>
  <c r="C64" i="6"/>
  <c r="C63" i="6"/>
  <c r="C62" i="6"/>
  <c r="C61" i="6"/>
  <c r="C60" i="6"/>
  <c r="C59" i="6"/>
  <c r="C58" i="6"/>
  <c r="C57" i="6"/>
  <c r="C56" i="6"/>
  <c r="C55" i="6"/>
  <c r="C54" i="6"/>
  <c r="C52" i="6"/>
  <c r="M66" i="3"/>
  <c r="F66" i="3"/>
  <c r="Y65" i="3"/>
  <c r="U65" i="3"/>
  <c r="R65" i="3"/>
  <c r="M64" i="3"/>
  <c r="F64" i="3"/>
  <c r="M63" i="3"/>
  <c r="F63" i="3"/>
  <c r="M62" i="3"/>
  <c r="F62" i="3"/>
  <c r="M61" i="3"/>
  <c r="F61" i="3"/>
  <c r="M60" i="3"/>
  <c r="F59" i="3"/>
  <c r="E59" i="3"/>
  <c r="Y58" i="3"/>
  <c r="U58" i="3"/>
  <c r="R58" i="3"/>
  <c r="Q58" i="3"/>
  <c r="M58" i="3"/>
  <c r="F58" i="3"/>
  <c r="E58" i="3"/>
  <c r="Y57" i="3"/>
  <c r="R57" i="3"/>
  <c r="Q57" i="3"/>
  <c r="F57" i="3"/>
  <c r="M56" i="3"/>
  <c r="F56" i="3"/>
  <c r="F55" i="3"/>
  <c r="F54" i="3"/>
  <c r="M53" i="3"/>
  <c r="F53" i="3"/>
  <c r="D49" i="6" l="1"/>
  <c r="C44" i="6"/>
  <c r="C43" i="6"/>
  <c r="C34" i="6"/>
  <c r="Y51" i="3"/>
  <c r="R51" i="3"/>
  <c r="N51" i="3"/>
  <c r="F51" i="3"/>
  <c r="E51" i="3"/>
  <c r="B51" i="3"/>
  <c r="M50" i="3"/>
  <c r="E50" i="3"/>
  <c r="M49" i="3"/>
  <c r="M48" i="3"/>
  <c r="I48" i="3"/>
  <c r="Y47" i="3"/>
  <c r="U47" i="3"/>
  <c r="M47" i="3"/>
  <c r="M46" i="3"/>
  <c r="M45" i="3"/>
  <c r="M44" i="3"/>
  <c r="I44" i="3"/>
  <c r="BU43" i="3"/>
  <c r="BI43" i="3"/>
  <c r="AW43" i="3"/>
  <c r="M42" i="3"/>
  <c r="F42" i="3"/>
  <c r="AW41" i="3"/>
  <c r="Y41" i="3"/>
  <c r="M41" i="3"/>
  <c r="BU40" i="3"/>
  <c r="Y40" i="3"/>
  <c r="M39" i="3"/>
  <c r="Y38" i="3"/>
  <c r="M38" i="3"/>
  <c r="F38" i="3"/>
  <c r="Y37" i="3"/>
  <c r="M37" i="3"/>
  <c r="F36" i="3"/>
  <c r="AK35" i="3"/>
  <c r="M35" i="3"/>
  <c r="M34" i="3"/>
  <c r="F34" i="3"/>
  <c r="Y33" i="3"/>
  <c r="M33" i="3"/>
  <c r="M32" i="3"/>
  <c r="F32" i="3"/>
  <c r="M31" i="3"/>
  <c r="M30" i="3"/>
  <c r="F30" i="3"/>
  <c r="Y29" i="3"/>
  <c r="AW28" i="3"/>
  <c r="AP28" i="3"/>
  <c r="M27" i="3"/>
  <c r="F27" i="3"/>
  <c r="Y26" i="3"/>
  <c r="F26" i="3"/>
  <c r="Y25" i="3"/>
  <c r="Y24" i="3"/>
  <c r="U24" i="3"/>
  <c r="R24" i="3"/>
  <c r="Q24" i="3"/>
  <c r="M24" i="3"/>
  <c r="I24" i="3"/>
  <c r="F24" i="3"/>
  <c r="E24" i="3"/>
  <c r="M23" i="3"/>
  <c r="F23" i="3"/>
  <c r="E23" i="3"/>
  <c r="Y22" i="3"/>
  <c r="U22" i="3"/>
  <c r="R22" i="3"/>
  <c r="Q22" i="3"/>
  <c r="Y21" i="3"/>
  <c r="R21" i="3"/>
  <c r="Y20" i="3"/>
  <c r="U20" i="3"/>
  <c r="R20" i="3"/>
  <c r="M20" i="3"/>
  <c r="F20" i="3"/>
  <c r="E20" i="3"/>
  <c r="M18" i="3"/>
  <c r="F18" i="3"/>
  <c r="M17" i="3"/>
  <c r="M16" i="3"/>
  <c r="F16" i="3"/>
  <c r="E16" i="3"/>
  <c r="M15" i="3"/>
  <c r="F15" i="3"/>
  <c r="M14" i="3"/>
  <c r="F14" i="3"/>
  <c r="M13" i="3"/>
  <c r="M12" i="3"/>
  <c r="F12" i="3"/>
  <c r="M11" i="3"/>
  <c r="AK10" i="3"/>
  <c r="M9" i="3"/>
  <c r="F9" i="3"/>
  <c r="E9" i="3"/>
  <c r="Y8" i="3"/>
  <c r="W8" i="3"/>
  <c r="U8" i="3"/>
  <c r="R8" i="3"/>
  <c r="Q8" i="3"/>
  <c r="M8" i="3"/>
  <c r="F8" i="3"/>
  <c r="E8" i="3"/>
  <c r="B8" i="3"/>
  <c r="M7" i="3"/>
  <c r="F7" i="3"/>
  <c r="B7" i="3"/>
  <c r="M6" i="3"/>
  <c r="F6" i="3"/>
  <c r="M5" i="3"/>
  <c r="M4" i="3"/>
  <c r="F4" i="3"/>
  <c r="D7" i="6" l="1"/>
  <c r="D5" i="6"/>
  <c r="C2" i="6"/>
</calcChain>
</file>

<file path=xl/sharedStrings.xml><?xml version="1.0" encoding="utf-8"?>
<sst xmlns="http://schemas.openxmlformats.org/spreadsheetml/2006/main" count="1421" uniqueCount="268">
  <si>
    <t>Survey Number</t>
  </si>
  <si>
    <t>Agrowell</t>
  </si>
  <si>
    <t>Family members</t>
  </si>
  <si>
    <t>Survey number</t>
  </si>
  <si>
    <t>1)Land under the particular D - canal</t>
  </si>
  <si>
    <t>2)Other lands under the Huruluwewa scheme</t>
  </si>
  <si>
    <t>3)Other lands out of the Huruluwewa scheme</t>
  </si>
  <si>
    <t>b)Land ownership</t>
  </si>
  <si>
    <t>c)Type of the land</t>
  </si>
  <si>
    <t>d)Nature of the land</t>
  </si>
  <si>
    <t>i)Wagal land</t>
  </si>
  <si>
    <t>ii)Goda land</t>
  </si>
  <si>
    <t>e)The crop and the land extent cultivated in the 2015 yala</t>
  </si>
  <si>
    <t>i)Paddy</t>
  </si>
  <si>
    <t>ii)Soybean</t>
  </si>
  <si>
    <t>iii)Maize</t>
  </si>
  <si>
    <t>iv)Big onion</t>
  </si>
  <si>
    <t>v)Vegetables</t>
  </si>
  <si>
    <t>vi)Other</t>
  </si>
  <si>
    <t>b)GN division</t>
  </si>
  <si>
    <t>1)Residence</t>
  </si>
  <si>
    <t>2)Field</t>
  </si>
  <si>
    <t>c)Land number</t>
  </si>
  <si>
    <t>d)Water source</t>
  </si>
  <si>
    <t>f)Name of FC</t>
  </si>
  <si>
    <t>1)Paddy</t>
  </si>
  <si>
    <t>2)Soybean</t>
  </si>
  <si>
    <t>3)Maize</t>
  </si>
  <si>
    <t>4)Big onion</t>
  </si>
  <si>
    <t>5)Vegetables</t>
  </si>
  <si>
    <t>6)Other</t>
  </si>
  <si>
    <t>g)Yield and income</t>
  </si>
  <si>
    <t>i)Input</t>
  </si>
  <si>
    <t>ii)Labor and Machinery</t>
  </si>
  <si>
    <t>b)Seed/Seedling/Nursery cost</t>
  </si>
  <si>
    <t>c)Bund clearing/Land preparation/Seeding/Transplanting cost</t>
  </si>
  <si>
    <t>d)Weeding/ Fertilizer/ Chemical cost</t>
  </si>
  <si>
    <t>e)Harvesting/ Transport cost</t>
  </si>
  <si>
    <t>f) Payment for the leased lands</t>
  </si>
  <si>
    <t>i)Total yield</t>
  </si>
  <si>
    <t>ii)Home consumption of the yield</t>
  </si>
  <si>
    <t>iii)Total income</t>
  </si>
  <si>
    <t>b)Farmers knowledge about the cultivation</t>
  </si>
  <si>
    <t>c)Likeliness to the cultivation</t>
  </si>
  <si>
    <t>d)Risk for yield and income</t>
  </si>
  <si>
    <t>i)Pest and diseases</t>
  </si>
  <si>
    <t>ii)Climate</t>
  </si>
  <si>
    <t>iii)Market price</t>
  </si>
  <si>
    <t>1)Other source of Livelihood</t>
  </si>
  <si>
    <t>2)Job/ Self employment</t>
  </si>
  <si>
    <t>3)Livestock rearing</t>
  </si>
  <si>
    <t>4)Welfare</t>
  </si>
  <si>
    <t>5)Foreign Remittance</t>
  </si>
  <si>
    <t>1)Food</t>
  </si>
  <si>
    <t>2)Clothes</t>
  </si>
  <si>
    <t>3)Rent</t>
  </si>
  <si>
    <t>3)Loans and interest</t>
  </si>
  <si>
    <t>4)Education</t>
  </si>
  <si>
    <t>5)Health</t>
  </si>
  <si>
    <t>6)Transport</t>
  </si>
  <si>
    <t>8)Water and electricity cost</t>
  </si>
  <si>
    <t>9)Other</t>
  </si>
  <si>
    <t xml:space="preserve">7)Communication (Telephone) </t>
  </si>
  <si>
    <t>a)FO</t>
  </si>
  <si>
    <t>e)Distance (DC to field)</t>
  </si>
  <si>
    <t>g)Distance (FC to field)</t>
  </si>
  <si>
    <t>h) Yes (1) /No (2)</t>
  </si>
  <si>
    <t xml:space="preserve">i)Number </t>
  </si>
  <si>
    <t>j)Crops cultivated</t>
  </si>
  <si>
    <t>n)Family members</t>
  </si>
  <si>
    <t>o)Family members particpated in the cultivation</t>
  </si>
  <si>
    <t>Gemunu FO</t>
  </si>
  <si>
    <t>D1</t>
  </si>
  <si>
    <t>FC4</t>
  </si>
  <si>
    <t>302 &amp; 27</t>
  </si>
  <si>
    <t>FC6</t>
  </si>
  <si>
    <t>4,5</t>
  </si>
  <si>
    <t>30A</t>
  </si>
  <si>
    <t>3,4</t>
  </si>
  <si>
    <t>FC3</t>
  </si>
  <si>
    <t>FC2</t>
  </si>
  <si>
    <t>FC9</t>
  </si>
  <si>
    <t>FC5</t>
  </si>
  <si>
    <t>46A</t>
  </si>
  <si>
    <t>FC1</t>
  </si>
  <si>
    <t>H</t>
  </si>
  <si>
    <t>Gemunu Bethum Ela FO</t>
  </si>
  <si>
    <t>D2</t>
  </si>
  <si>
    <t>FC22</t>
  </si>
  <si>
    <t>T</t>
  </si>
  <si>
    <t>110B</t>
  </si>
  <si>
    <t>FC17</t>
  </si>
  <si>
    <t>M</t>
  </si>
  <si>
    <t>151B</t>
  </si>
  <si>
    <t>FC19</t>
  </si>
  <si>
    <t>FC18</t>
  </si>
  <si>
    <t>181B</t>
  </si>
  <si>
    <t>FC16</t>
  </si>
  <si>
    <t>FC15</t>
  </si>
  <si>
    <t>2,4,5</t>
  </si>
  <si>
    <t>103B</t>
  </si>
  <si>
    <t>FC21</t>
  </si>
  <si>
    <t>FC20</t>
  </si>
  <si>
    <t>FC13</t>
  </si>
  <si>
    <t>FC19A</t>
  </si>
  <si>
    <t>FC14</t>
  </si>
  <si>
    <t>1,2,5</t>
  </si>
  <si>
    <t>137A</t>
  </si>
  <si>
    <t xml:space="preserve">  </t>
  </si>
  <si>
    <t>FC18A</t>
  </si>
  <si>
    <t>Mahasen FO</t>
  </si>
  <si>
    <t>D3</t>
  </si>
  <si>
    <t>FC27</t>
  </si>
  <si>
    <t>FC29</t>
  </si>
  <si>
    <t>FC31</t>
  </si>
  <si>
    <t>FC26</t>
  </si>
  <si>
    <t>218B</t>
  </si>
  <si>
    <t>249B</t>
  </si>
  <si>
    <t>211B</t>
  </si>
  <si>
    <t>FC24</t>
  </si>
  <si>
    <t>222B</t>
  </si>
  <si>
    <t>209B</t>
  </si>
  <si>
    <t>D4</t>
  </si>
  <si>
    <t>273B</t>
  </si>
  <si>
    <t>FC28</t>
  </si>
  <si>
    <t>269B</t>
  </si>
  <si>
    <t>D5</t>
  </si>
  <si>
    <t>FC36</t>
  </si>
  <si>
    <t>2,5</t>
  </si>
  <si>
    <t>FC34</t>
  </si>
  <si>
    <t>FC42</t>
  </si>
  <si>
    <t>357B</t>
  </si>
  <si>
    <t>456B</t>
  </si>
  <si>
    <t>FC38</t>
  </si>
  <si>
    <t>2,4</t>
  </si>
  <si>
    <t>FC41</t>
  </si>
  <si>
    <t>FC33</t>
  </si>
  <si>
    <t>2,3</t>
  </si>
  <si>
    <t>FC40</t>
  </si>
  <si>
    <t>518B</t>
  </si>
  <si>
    <t>1,2</t>
  </si>
  <si>
    <t>480B</t>
  </si>
  <si>
    <t>FC35</t>
  </si>
  <si>
    <t>B1</t>
  </si>
  <si>
    <t>FC44</t>
  </si>
  <si>
    <t>FC37</t>
  </si>
  <si>
    <t>B2</t>
  </si>
  <si>
    <t>333B</t>
  </si>
  <si>
    <t>B3</t>
  </si>
  <si>
    <t>411/412</t>
  </si>
  <si>
    <t>Yan oya</t>
  </si>
  <si>
    <t>512B</t>
  </si>
  <si>
    <t>FC39</t>
  </si>
  <si>
    <t>1,2,4</t>
  </si>
  <si>
    <t>465B</t>
  </si>
  <si>
    <t>FC49</t>
  </si>
  <si>
    <t>D6</t>
  </si>
  <si>
    <t>FC46</t>
  </si>
  <si>
    <t>506B</t>
  </si>
  <si>
    <t>FC52</t>
  </si>
  <si>
    <t>1,5</t>
  </si>
  <si>
    <t>FC51</t>
  </si>
  <si>
    <t>FC48</t>
  </si>
  <si>
    <t>FC45</t>
  </si>
  <si>
    <t>FC47</t>
  </si>
  <si>
    <t>FC54B</t>
  </si>
  <si>
    <t>FC53</t>
  </si>
  <si>
    <t>FC50,51</t>
  </si>
  <si>
    <t>FC50</t>
  </si>
  <si>
    <t>546B</t>
  </si>
  <si>
    <t>FC54A</t>
  </si>
  <si>
    <t>Samagi FO</t>
  </si>
  <si>
    <t>Br2</t>
  </si>
  <si>
    <t>FC7</t>
  </si>
  <si>
    <t>Ekamuthu FO Tract 06</t>
  </si>
  <si>
    <t>FC3,4</t>
  </si>
  <si>
    <t>FC48,49</t>
  </si>
  <si>
    <t>Samagi Bethum Ela FO</t>
  </si>
  <si>
    <t>D7</t>
  </si>
  <si>
    <t>FC15A</t>
  </si>
  <si>
    <t>109B</t>
  </si>
  <si>
    <t>FC10</t>
  </si>
  <si>
    <t>FC12</t>
  </si>
  <si>
    <t>FC11</t>
  </si>
  <si>
    <t>121B</t>
  </si>
  <si>
    <t>122B</t>
  </si>
  <si>
    <t>125B</t>
  </si>
  <si>
    <t>120B</t>
  </si>
  <si>
    <t>88B</t>
  </si>
  <si>
    <t>Udara Bedum Ela FO</t>
  </si>
  <si>
    <t>D8</t>
  </si>
  <si>
    <t>FC23</t>
  </si>
  <si>
    <t>199B</t>
  </si>
  <si>
    <t>240B</t>
  </si>
  <si>
    <t>248B</t>
  </si>
  <si>
    <t>Udara Bethum Ela FO</t>
  </si>
  <si>
    <t>335B</t>
  </si>
  <si>
    <t>D9</t>
  </si>
  <si>
    <t>266B</t>
  </si>
  <si>
    <t>288B</t>
  </si>
  <si>
    <t>D9/1</t>
  </si>
  <si>
    <t>FC32</t>
  </si>
  <si>
    <t>232B</t>
  </si>
  <si>
    <t>D9/2</t>
  </si>
  <si>
    <t>750-1500</t>
  </si>
  <si>
    <t>50-1000</t>
  </si>
  <si>
    <t>214B</t>
  </si>
  <si>
    <t>297B</t>
  </si>
  <si>
    <t>233B</t>
  </si>
  <si>
    <t>FC30</t>
  </si>
  <si>
    <t>91B</t>
  </si>
  <si>
    <t>285B</t>
  </si>
  <si>
    <t>244B</t>
  </si>
  <si>
    <t>115B</t>
  </si>
  <si>
    <t>Kokawewa Bethum Ela FO</t>
  </si>
  <si>
    <t>D10</t>
  </si>
  <si>
    <t>528B</t>
  </si>
  <si>
    <t>476B</t>
  </si>
  <si>
    <t>476 B</t>
  </si>
  <si>
    <t>490B</t>
  </si>
  <si>
    <t>D11</t>
  </si>
  <si>
    <t>FC8</t>
  </si>
  <si>
    <t>809B</t>
  </si>
  <si>
    <t>RB1</t>
  </si>
  <si>
    <t>RB2</t>
  </si>
  <si>
    <t>1,2,3,4</t>
  </si>
  <si>
    <t>RB4</t>
  </si>
  <si>
    <t>2,3,4</t>
  </si>
  <si>
    <t>D12 Parakum FO</t>
  </si>
  <si>
    <t>D12</t>
  </si>
  <si>
    <t>LB2</t>
  </si>
  <si>
    <t>758B</t>
  </si>
  <si>
    <t>689B</t>
  </si>
  <si>
    <t>RB2 - FC2</t>
  </si>
  <si>
    <t>LB2 - FC3</t>
  </si>
  <si>
    <t>RB3 - FC1</t>
  </si>
  <si>
    <t>728B</t>
  </si>
  <si>
    <t>D13 Parakum Bethum Ela</t>
  </si>
  <si>
    <t>169A</t>
  </si>
  <si>
    <t>D13</t>
  </si>
  <si>
    <t>169B</t>
  </si>
  <si>
    <t>11B</t>
  </si>
  <si>
    <t>639B</t>
  </si>
  <si>
    <t>870B</t>
  </si>
  <si>
    <t>875B</t>
  </si>
  <si>
    <t>843B</t>
  </si>
  <si>
    <t>13B</t>
  </si>
  <si>
    <t>873B</t>
  </si>
  <si>
    <t>FC25</t>
  </si>
  <si>
    <t>LB2-FC3</t>
  </si>
  <si>
    <t>RB3-FC1</t>
  </si>
  <si>
    <t>LB2-H</t>
  </si>
  <si>
    <t>LB2-T</t>
  </si>
  <si>
    <t>RB3-T</t>
  </si>
  <si>
    <t>RB3-FC2</t>
  </si>
  <si>
    <t>LB2-FC4</t>
  </si>
  <si>
    <t>LB4</t>
  </si>
  <si>
    <t>Position in the DC</t>
  </si>
  <si>
    <t>FC4,49</t>
  </si>
  <si>
    <t>D5 Bethum ela FO</t>
  </si>
  <si>
    <t>D6 Bethum ela FO</t>
  </si>
  <si>
    <t>b) Seed/Seedling/ Nursery cost</t>
  </si>
  <si>
    <t>c)Bund clearing/Landpreparation/Seeding/Trans planting cost</t>
  </si>
  <si>
    <t>Batahira Bethum Ela FO</t>
  </si>
  <si>
    <t>p</t>
  </si>
  <si>
    <t>s</t>
  </si>
  <si>
    <t>yield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</si>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</sst>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2" fillId="0" borderId="1" xfId="0" applyFont="1" applyFill="1" applyBorder="1"/>
    <xf numFmtId="3" fontId="0" fillId="0" borderId="1" xfId="0" applyNumberFormat="1" applyBorder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textRotation="90" wrapText="1"/>
    </xf>
    <xf numFmtId="0" fontId="5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textRotation="90"/>
    </xf>
    <xf numFmtId="0" fontId="5" fillId="0" borderId="1" xfId="0" applyFont="1" applyFill="1" applyBorder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3" xfId="0" applyFont="1" applyFill="1" applyBorder="1"/>
    <xf numFmtId="0" fontId="5" fillId="0" borderId="1" xfId="0" applyFont="1" applyBorder="1" applyAlignment="1">
      <alignment horizontal="left" textRotation="90" wrapText="1"/>
    </xf>
    <xf numFmtId="0" fontId="6" fillId="0" borderId="0" xfId="0" applyFont="1"/>
    <xf numFmtId="0" fontId="6" fillId="0" borderId="0" xfId="0" applyFont="1" applyFill="1"/>
    <xf numFmtId="0" fontId="6" fillId="3" borderId="0" xfId="0" applyFont="1" applyFill="1" applyBorder="1"/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" fillId="0" borderId="2" xfId="0" applyFont="1" applyBorder="1"/>
    <xf numFmtId="0" fontId="0" fillId="0" borderId="6" xfId="0" applyFill="1" applyBorder="1"/>
    <xf numFmtId="0" fontId="0" fillId="0" borderId="5" xfId="0" applyFill="1" applyBorder="1"/>
    <xf numFmtId="0" fontId="0" fillId="0" borderId="4" xfId="0" applyFill="1" applyBorder="1"/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2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4" borderId="0" xfId="0" applyFont="1" applyFill="1" applyBorder="1"/>
    <xf numFmtId="0" fontId="3" fillId="0" borderId="1" xfId="0" applyFont="1" applyFill="1" applyBorder="1" applyAlignment="1">
      <alignment textRotation="90"/>
    </xf>
    <xf numFmtId="0" fontId="4" fillId="0" borderId="1" xfId="0" applyFont="1" applyFill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textRotation="90" wrapText="1"/>
    </xf>
    <xf numFmtId="0" fontId="0" fillId="0" borderId="2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3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left" textRotation="90" wrapText="1"/>
    </xf>
    <xf numFmtId="0" fontId="6" fillId="0" borderId="1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textRotation="90" wrapText="1"/>
    </xf>
    <xf numFmtId="0" fontId="6" fillId="0" borderId="3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top"/>
    </xf>
    <xf numFmtId="0" fontId="3" fillId="0" borderId="1" xfId="0" applyFont="1" applyFill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view="pageLayout" zoomScaleNormal="57" workbookViewId="0">
      <selection activeCell="G1" sqref="G1:K2"/>
    </sheetView>
  </sheetViews>
  <sheetFormatPr defaultRowHeight="15" x14ac:dyDescent="0.25"/>
  <cols>
    <col min="1" max="1" width="8" style="1" customWidth="1"/>
    <col min="2" max="2" width="23.28515625" style="1" customWidth="1"/>
    <col min="3" max="3" width="5.140625" style="1" customWidth="1"/>
    <col min="4" max="4" width="5.5703125" style="1" customWidth="1"/>
    <col min="5" max="6" width="6.140625" style="67" customWidth="1"/>
    <col min="7" max="7" width="6.140625" style="1" customWidth="1"/>
    <col min="8" max="8" width="7.28515625" style="1" customWidth="1"/>
    <col min="9" max="9" width="8.42578125" style="1" customWidth="1"/>
    <col min="10" max="10" width="5.85546875" style="1" customWidth="1"/>
    <col min="11" max="11" width="7.140625" style="1" customWidth="1"/>
    <col min="12" max="12" width="6.42578125" style="1" customWidth="1"/>
    <col min="13" max="13" width="6.7109375" style="1" customWidth="1"/>
    <col min="14" max="14" width="6.7109375" style="67" customWidth="1"/>
    <col min="15" max="15" width="7.140625" style="1" customWidth="1"/>
    <col min="16" max="16" width="8.85546875" style="1" customWidth="1"/>
    <col min="17" max="18" width="9.140625" style="3"/>
    <col min="19" max="16384" width="9.140625" style="1"/>
  </cols>
  <sheetData>
    <row r="1" spans="1:18" s="2" customFormat="1" ht="15" customHeight="1" x14ac:dyDescent="0.25">
      <c r="A1" s="73" t="s">
        <v>0</v>
      </c>
      <c r="B1" s="16" t="s">
        <v>63</v>
      </c>
      <c r="C1" s="73" t="s">
        <v>19</v>
      </c>
      <c r="D1" s="73"/>
      <c r="E1" s="73" t="s">
        <v>22</v>
      </c>
      <c r="F1" s="73"/>
      <c r="G1" s="76" t="s">
        <v>23</v>
      </c>
      <c r="H1" s="75" t="s">
        <v>64</v>
      </c>
      <c r="I1" s="75" t="s">
        <v>24</v>
      </c>
      <c r="J1" s="75" t="s">
        <v>257</v>
      </c>
      <c r="K1" s="75" t="s">
        <v>65</v>
      </c>
      <c r="L1" s="73" t="s">
        <v>1</v>
      </c>
      <c r="M1" s="73"/>
      <c r="N1" s="73"/>
      <c r="O1" s="73" t="s">
        <v>2</v>
      </c>
      <c r="P1" s="73"/>
      <c r="Q1" s="18"/>
      <c r="R1" s="18"/>
    </row>
    <row r="2" spans="1:18" s="2" customFormat="1" ht="89.25" customHeight="1" x14ac:dyDescent="0.25">
      <c r="A2" s="74"/>
      <c r="B2" s="17"/>
      <c r="C2" s="70" t="s">
        <v>20</v>
      </c>
      <c r="D2" s="71" t="s">
        <v>21</v>
      </c>
      <c r="E2" s="71" t="s">
        <v>20</v>
      </c>
      <c r="F2" s="71" t="s">
        <v>21</v>
      </c>
      <c r="G2" s="77"/>
      <c r="H2" s="76"/>
      <c r="I2" s="76"/>
      <c r="J2" s="76"/>
      <c r="K2" s="76"/>
      <c r="L2" s="71" t="s">
        <v>66</v>
      </c>
      <c r="M2" s="71" t="s">
        <v>67</v>
      </c>
      <c r="N2" s="71" t="s">
        <v>68</v>
      </c>
      <c r="O2" s="72" t="s">
        <v>69</v>
      </c>
      <c r="P2" s="72" t="s">
        <v>70</v>
      </c>
      <c r="Q2" s="18"/>
      <c r="R2" s="18"/>
    </row>
    <row r="3" spans="1:18" s="3" customFormat="1" x14ac:dyDescent="0.25">
      <c r="A3" s="6">
        <v>206</v>
      </c>
      <c r="B3" s="6" t="s">
        <v>71</v>
      </c>
      <c r="C3" s="6">
        <v>192</v>
      </c>
      <c r="D3" s="6">
        <v>192</v>
      </c>
      <c r="E3" s="60">
        <v>28</v>
      </c>
      <c r="F3" s="60">
        <v>28</v>
      </c>
      <c r="G3" s="6" t="s">
        <v>72</v>
      </c>
      <c r="H3" s="6">
        <v>500</v>
      </c>
      <c r="I3" s="6" t="s">
        <v>73</v>
      </c>
      <c r="J3" s="6" t="s">
        <v>85</v>
      </c>
      <c r="K3" s="6">
        <v>500</v>
      </c>
      <c r="L3" s="6">
        <v>2</v>
      </c>
      <c r="M3" s="6"/>
      <c r="N3" s="60"/>
      <c r="O3" s="6">
        <v>6</v>
      </c>
      <c r="P3" s="6">
        <v>2</v>
      </c>
    </row>
    <row r="4" spans="1:18" s="3" customFormat="1" x14ac:dyDescent="0.25">
      <c r="A4" s="6">
        <v>207</v>
      </c>
      <c r="B4" s="6" t="s">
        <v>71</v>
      </c>
      <c r="C4" s="6">
        <v>193</v>
      </c>
      <c r="D4" s="6">
        <v>193</v>
      </c>
      <c r="E4" s="60">
        <v>33</v>
      </c>
      <c r="F4" s="60">
        <v>33</v>
      </c>
      <c r="G4" s="6" t="s">
        <v>72</v>
      </c>
      <c r="H4" s="6">
        <v>300</v>
      </c>
      <c r="I4" s="6" t="s">
        <v>73</v>
      </c>
      <c r="J4" s="6" t="s">
        <v>85</v>
      </c>
      <c r="K4" s="6">
        <v>20</v>
      </c>
      <c r="L4" s="6">
        <v>2</v>
      </c>
      <c r="M4" s="6"/>
      <c r="N4" s="60"/>
      <c r="O4" s="6">
        <v>2</v>
      </c>
      <c r="P4" s="6">
        <v>2</v>
      </c>
    </row>
    <row r="5" spans="1:18" s="3" customFormat="1" x14ac:dyDescent="0.25">
      <c r="A5" s="6" t="s">
        <v>74</v>
      </c>
      <c r="B5" s="6" t="s">
        <v>71</v>
      </c>
      <c r="C5" s="6">
        <v>193</v>
      </c>
      <c r="D5" s="6">
        <v>193</v>
      </c>
      <c r="E5" s="60">
        <v>43</v>
      </c>
      <c r="F5" s="60">
        <v>43</v>
      </c>
      <c r="G5" s="6" t="s">
        <v>72</v>
      </c>
      <c r="H5" s="6">
        <v>1000</v>
      </c>
      <c r="I5" s="6" t="s">
        <v>75</v>
      </c>
      <c r="J5" s="6" t="s">
        <v>92</v>
      </c>
      <c r="K5" s="6"/>
      <c r="L5" s="6">
        <v>2</v>
      </c>
      <c r="M5" s="6"/>
      <c r="N5" s="60"/>
      <c r="O5" s="6">
        <v>3</v>
      </c>
      <c r="P5" s="6">
        <v>2</v>
      </c>
    </row>
    <row r="6" spans="1:18" s="3" customFormat="1" x14ac:dyDescent="0.25">
      <c r="A6" s="6">
        <v>303</v>
      </c>
      <c r="B6" s="6" t="s">
        <v>71</v>
      </c>
      <c r="C6" s="6">
        <v>193</v>
      </c>
      <c r="D6" s="6">
        <v>193</v>
      </c>
      <c r="E6" s="60">
        <v>47</v>
      </c>
      <c r="F6" s="60">
        <v>47</v>
      </c>
      <c r="G6" s="6" t="s">
        <v>72</v>
      </c>
      <c r="H6" s="6">
        <v>1000</v>
      </c>
      <c r="I6" s="6" t="s">
        <v>173</v>
      </c>
      <c r="J6" s="6" t="s">
        <v>89</v>
      </c>
      <c r="K6" s="6"/>
      <c r="L6" s="6">
        <v>1</v>
      </c>
      <c r="M6" s="6">
        <v>1</v>
      </c>
      <c r="N6" s="60" t="s">
        <v>76</v>
      </c>
      <c r="O6" s="6">
        <v>3</v>
      </c>
      <c r="P6" s="6">
        <v>2</v>
      </c>
    </row>
    <row r="7" spans="1:18" s="3" customFormat="1" x14ac:dyDescent="0.25">
      <c r="A7" s="6">
        <v>304</v>
      </c>
      <c r="B7" s="6" t="s">
        <v>71</v>
      </c>
      <c r="C7" s="6">
        <v>193</v>
      </c>
      <c r="D7" s="6">
        <v>193</v>
      </c>
      <c r="E7" s="60" t="s">
        <v>77</v>
      </c>
      <c r="F7" s="60">
        <v>30</v>
      </c>
      <c r="G7" s="6" t="s">
        <v>72</v>
      </c>
      <c r="H7" s="6">
        <v>800</v>
      </c>
      <c r="I7" s="6" t="s">
        <v>73</v>
      </c>
      <c r="J7" s="6" t="s">
        <v>85</v>
      </c>
      <c r="K7" s="6"/>
      <c r="L7" s="6">
        <v>1</v>
      </c>
      <c r="M7" s="6">
        <v>1</v>
      </c>
      <c r="N7" s="60" t="s">
        <v>78</v>
      </c>
      <c r="O7" s="6">
        <v>3</v>
      </c>
      <c r="P7" s="6">
        <v>3</v>
      </c>
    </row>
    <row r="8" spans="1:18" s="3" customFormat="1" x14ac:dyDescent="0.25">
      <c r="A8" s="6">
        <v>305</v>
      </c>
      <c r="B8" s="6" t="s">
        <v>71</v>
      </c>
      <c r="C8" s="6">
        <v>192</v>
      </c>
      <c r="D8" s="6">
        <v>193</v>
      </c>
      <c r="E8" s="60">
        <v>17</v>
      </c>
      <c r="F8" s="60">
        <v>17</v>
      </c>
      <c r="G8" s="6" t="s">
        <v>72</v>
      </c>
      <c r="H8" s="6">
        <v>1</v>
      </c>
      <c r="I8" s="6" t="s">
        <v>79</v>
      </c>
      <c r="J8" s="6" t="s">
        <v>85</v>
      </c>
      <c r="K8" s="6">
        <v>1</v>
      </c>
      <c r="L8" s="6">
        <v>2</v>
      </c>
      <c r="M8" s="6"/>
      <c r="N8" s="60"/>
      <c r="O8" s="6">
        <v>3</v>
      </c>
      <c r="P8" s="6">
        <v>2</v>
      </c>
    </row>
    <row r="9" spans="1:18" s="3" customFormat="1" x14ac:dyDescent="0.25">
      <c r="A9" s="6">
        <v>258</v>
      </c>
      <c r="B9" s="6" t="s">
        <v>71</v>
      </c>
      <c r="C9" s="6">
        <v>192</v>
      </c>
      <c r="D9" s="6">
        <v>193</v>
      </c>
      <c r="E9" s="60"/>
      <c r="F9" s="60"/>
      <c r="G9" s="6" t="s">
        <v>72</v>
      </c>
      <c r="H9" s="6">
        <v>150</v>
      </c>
      <c r="I9" s="6" t="s">
        <v>173</v>
      </c>
      <c r="J9" s="6" t="s">
        <v>89</v>
      </c>
      <c r="K9" s="6"/>
      <c r="L9" s="6">
        <v>2</v>
      </c>
      <c r="M9" s="6"/>
      <c r="N9" s="60"/>
      <c r="O9" s="6">
        <v>5</v>
      </c>
      <c r="P9" s="6">
        <v>2</v>
      </c>
    </row>
    <row r="10" spans="1:18" s="3" customFormat="1" x14ac:dyDescent="0.25">
      <c r="A10" s="6">
        <v>259</v>
      </c>
      <c r="B10" s="6" t="s">
        <v>71</v>
      </c>
      <c r="C10" s="6">
        <v>192</v>
      </c>
      <c r="D10" s="6">
        <v>193</v>
      </c>
      <c r="E10" s="60">
        <v>59</v>
      </c>
      <c r="F10" s="60">
        <v>59</v>
      </c>
      <c r="G10" s="6" t="s">
        <v>72</v>
      </c>
      <c r="H10" s="6">
        <v>600</v>
      </c>
      <c r="I10" s="6" t="s">
        <v>221</v>
      </c>
      <c r="J10" s="6" t="s">
        <v>85</v>
      </c>
      <c r="K10" s="6">
        <v>1</v>
      </c>
      <c r="L10" s="6">
        <v>1</v>
      </c>
      <c r="M10" s="6">
        <v>1</v>
      </c>
      <c r="N10" s="60">
        <v>4</v>
      </c>
      <c r="O10" s="6">
        <v>4</v>
      </c>
      <c r="P10" s="6">
        <v>1</v>
      </c>
    </row>
    <row r="11" spans="1:18" s="3" customFormat="1" x14ac:dyDescent="0.25">
      <c r="A11" s="6">
        <v>26</v>
      </c>
      <c r="B11" s="6" t="s">
        <v>71</v>
      </c>
      <c r="C11" s="6">
        <v>193</v>
      </c>
      <c r="D11" s="6">
        <v>193</v>
      </c>
      <c r="E11" s="60">
        <v>38</v>
      </c>
      <c r="F11" s="60">
        <v>38</v>
      </c>
      <c r="G11" s="6" t="s">
        <v>72</v>
      </c>
      <c r="H11" s="6">
        <v>500</v>
      </c>
      <c r="I11" s="6" t="s">
        <v>82</v>
      </c>
      <c r="J11" s="6" t="s">
        <v>89</v>
      </c>
      <c r="K11" s="6">
        <v>15</v>
      </c>
      <c r="L11" s="6">
        <v>2</v>
      </c>
      <c r="M11" s="6"/>
      <c r="N11" s="60"/>
      <c r="O11" s="6">
        <v>5</v>
      </c>
      <c r="P11" s="6">
        <v>1</v>
      </c>
    </row>
    <row r="12" spans="1:18" s="3" customFormat="1" x14ac:dyDescent="0.25">
      <c r="A12" s="6">
        <v>29</v>
      </c>
      <c r="B12" s="6" t="s">
        <v>71</v>
      </c>
      <c r="C12" s="6">
        <v>192</v>
      </c>
      <c r="D12" s="6">
        <v>192</v>
      </c>
      <c r="E12" s="60">
        <v>44</v>
      </c>
      <c r="F12" s="60">
        <v>44</v>
      </c>
      <c r="G12" s="6" t="s">
        <v>72</v>
      </c>
      <c r="H12" s="6">
        <v>1000</v>
      </c>
      <c r="I12" s="6" t="s">
        <v>75</v>
      </c>
      <c r="J12" s="6" t="s">
        <v>92</v>
      </c>
      <c r="K12" s="6">
        <v>500</v>
      </c>
      <c r="L12" s="6">
        <v>2</v>
      </c>
      <c r="M12" s="6"/>
      <c r="N12" s="60"/>
      <c r="O12" s="6">
        <v>4</v>
      </c>
      <c r="P12" s="6">
        <v>2</v>
      </c>
    </row>
    <row r="13" spans="1:18" s="3" customFormat="1" x14ac:dyDescent="0.25">
      <c r="A13" s="6">
        <v>127</v>
      </c>
      <c r="B13" s="6" t="s">
        <v>71</v>
      </c>
      <c r="C13" s="6">
        <v>193</v>
      </c>
      <c r="D13" s="6">
        <v>193</v>
      </c>
      <c r="E13" s="60">
        <v>40</v>
      </c>
      <c r="F13" s="60">
        <v>40</v>
      </c>
      <c r="G13" s="6" t="s">
        <v>72</v>
      </c>
      <c r="H13" s="6">
        <v>1500</v>
      </c>
      <c r="I13" s="6" t="s">
        <v>75</v>
      </c>
      <c r="J13" s="6" t="s">
        <v>92</v>
      </c>
      <c r="K13" s="6">
        <v>2</v>
      </c>
      <c r="L13" s="6">
        <v>1</v>
      </c>
      <c r="M13" s="6">
        <v>1</v>
      </c>
      <c r="N13" s="60">
        <v>4</v>
      </c>
      <c r="O13" s="6">
        <v>4</v>
      </c>
      <c r="P13" s="6">
        <v>2</v>
      </c>
    </row>
    <row r="14" spans="1:18" s="3" customFormat="1" x14ac:dyDescent="0.25">
      <c r="A14" s="6">
        <v>128</v>
      </c>
      <c r="B14" s="6" t="s">
        <v>71</v>
      </c>
      <c r="C14" s="6">
        <v>193</v>
      </c>
      <c r="D14" s="6">
        <v>193</v>
      </c>
      <c r="E14" s="60">
        <v>55</v>
      </c>
      <c r="F14" s="60">
        <v>55</v>
      </c>
      <c r="G14" s="6" t="s">
        <v>72</v>
      </c>
      <c r="H14" s="6">
        <v>75</v>
      </c>
      <c r="I14" s="6" t="s">
        <v>75</v>
      </c>
      <c r="J14" s="6" t="s">
        <v>92</v>
      </c>
      <c r="K14" s="6">
        <v>3</v>
      </c>
      <c r="L14" s="6">
        <v>1</v>
      </c>
      <c r="M14" s="6">
        <v>1</v>
      </c>
      <c r="N14" s="60">
        <v>5</v>
      </c>
      <c r="O14" s="6">
        <v>6</v>
      </c>
      <c r="P14" s="6">
        <v>1</v>
      </c>
    </row>
    <row r="15" spans="1:18" s="3" customFormat="1" x14ac:dyDescent="0.25">
      <c r="A15" s="6">
        <v>126</v>
      </c>
      <c r="B15" s="6" t="s">
        <v>71</v>
      </c>
      <c r="C15" s="6">
        <v>192</v>
      </c>
      <c r="D15" s="6">
        <v>193</v>
      </c>
      <c r="E15" s="60" t="s">
        <v>83</v>
      </c>
      <c r="F15" s="60" t="s">
        <v>83</v>
      </c>
      <c r="G15" s="6" t="s">
        <v>72</v>
      </c>
      <c r="H15" s="6">
        <v>1500</v>
      </c>
      <c r="I15" s="6" t="s">
        <v>75</v>
      </c>
      <c r="J15" s="6" t="s">
        <v>92</v>
      </c>
      <c r="K15" s="6">
        <v>4</v>
      </c>
      <c r="L15" s="6">
        <v>2</v>
      </c>
      <c r="M15" s="6"/>
      <c r="N15" s="60"/>
      <c r="O15" s="6">
        <v>5</v>
      </c>
      <c r="P15" s="6">
        <v>3</v>
      </c>
    </row>
    <row r="16" spans="1:18" s="3" customFormat="1" x14ac:dyDescent="0.25">
      <c r="A16" s="6">
        <v>129</v>
      </c>
      <c r="B16" s="6" t="s">
        <v>71</v>
      </c>
      <c r="C16" s="6">
        <v>192</v>
      </c>
      <c r="D16" s="6">
        <v>192</v>
      </c>
      <c r="E16" s="60">
        <v>59</v>
      </c>
      <c r="F16" s="60">
        <v>59</v>
      </c>
      <c r="G16" s="6" t="s">
        <v>72</v>
      </c>
      <c r="H16" s="6">
        <v>500</v>
      </c>
      <c r="I16" s="6" t="s">
        <v>221</v>
      </c>
      <c r="J16" s="6" t="s">
        <v>85</v>
      </c>
      <c r="K16" s="6">
        <v>2</v>
      </c>
      <c r="L16" s="6">
        <v>1</v>
      </c>
      <c r="M16" s="6">
        <v>1</v>
      </c>
      <c r="N16" s="60">
        <v>5</v>
      </c>
      <c r="O16" s="6">
        <v>2</v>
      </c>
      <c r="P16" s="6">
        <v>2</v>
      </c>
    </row>
    <row r="17" spans="1:19" s="3" customFormat="1" x14ac:dyDescent="0.25">
      <c r="A17" s="7">
        <v>25</v>
      </c>
      <c r="B17" s="7" t="s">
        <v>71</v>
      </c>
      <c r="C17" s="7">
        <v>193</v>
      </c>
      <c r="D17" s="7">
        <v>193</v>
      </c>
      <c r="E17" s="61">
        <v>25</v>
      </c>
      <c r="F17" s="61">
        <v>25</v>
      </c>
      <c r="G17" s="7" t="s">
        <v>72</v>
      </c>
      <c r="H17" s="7">
        <v>1000</v>
      </c>
      <c r="I17" s="7" t="s">
        <v>73</v>
      </c>
      <c r="J17" s="7" t="s">
        <v>85</v>
      </c>
      <c r="K17" s="7">
        <v>500</v>
      </c>
      <c r="L17" s="7">
        <v>2</v>
      </c>
      <c r="M17" s="7"/>
      <c r="N17" s="61"/>
      <c r="O17" s="7">
        <v>6</v>
      </c>
      <c r="P17" s="7">
        <v>1</v>
      </c>
    </row>
    <row r="18" spans="1:19" s="3" customFormat="1" x14ac:dyDescent="0.25">
      <c r="A18" s="59"/>
      <c r="B18" s="59"/>
      <c r="C18" s="59"/>
      <c r="D18" s="59"/>
      <c r="E18" s="62"/>
      <c r="F18" s="62"/>
      <c r="G18" s="59"/>
      <c r="H18" s="59"/>
      <c r="I18" s="59"/>
      <c r="J18" s="59"/>
      <c r="K18" s="59"/>
      <c r="L18" s="59"/>
      <c r="M18" s="59"/>
      <c r="N18" s="62"/>
      <c r="O18" s="59"/>
      <c r="P18" s="59"/>
    </row>
    <row r="19" spans="1:19" customFormat="1" x14ac:dyDescent="0.25">
      <c r="A19" s="10">
        <v>110</v>
      </c>
      <c r="B19" s="10" t="s">
        <v>86</v>
      </c>
      <c r="C19" s="10">
        <v>194</v>
      </c>
      <c r="D19" s="10">
        <v>194</v>
      </c>
      <c r="E19" s="63">
        <v>132</v>
      </c>
      <c r="F19" s="63">
        <v>190</v>
      </c>
      <c r="G19" s="10" t="s">
        <v>87</v>
      </c>
      <c r="H19" s="10">
        <v>10</v>
      </c>
      <c r="I19" s="10" t="s">
        <v>88</v>
      </c>
      <c r="J19" s="11" t="s">
        <v>85</v>
      </c>
      <c r="K19" s="10">
        <v>10</v>
      </c>
      <c r="L19" s="10">
        <v>2</v>
      </c>
      <c r="M19" s="10"/>
      <c r="N19" s="63"/>
      <c r="O19" s="10">
        <v>4</v>
      </c>
      <c r="P19" s="10">
        <v>2</v>
      </c>
      <c r="Q19" s="3"/>
      <c r="R19" s="3"/>
      <c r="S19" s="1"/>
    </row>
    <row r="20" spans="1:19" customFormat="1" x14ac:dyDescent="0.25">
      <c r="A20" s="8">
        <v>111</v>
      </c>
      <c r="B20" s="8" t="s">
        <v>86</v>
      </c>
      <c r="C20" s="8">
        <v>194</v>
      </c>
      <c r="D20" s="8">
        <v>194</v>
      </c>
      <c r="E20" s="64" t="s">
        <v>90</v>
      </c>
      <c r="F20" s="64" t="s">
        <v>90</v>
      </c>
      <c r="G20" s="8" t="s">
        <v>87</v>
      </c>
      <c r="H20" s="8">
        <v>2</v>
      </c>
      <c r="I20" s="8" t="s">
        <v>91</v>
      </c>
      <c r="J20" s="6" t="s">
        <v>89</v>
      </c>
      <c r="K20" s="8">
        <v>2</v>
      </c>
      <c r="L20" s="8">
        <v>2</v>
      </c>
      <c r="M20" s="8"/>
      <c r="N20" s="64"/>
      <c r="O20" s="8">
        <v>4</v>
      </c>
      <c r="P20" s="8">
        <v>2</v>
      </c>
      <c r="Q20" s="3"/>
      <c r="R20" s="3"/>
      <c r="S20" s="1"/>
    </row>
    <row r="21" spans="1:19" customFormat="1" x14ac:dyDescent="0.25">
      <c r="A21" s="8">
        <v>112</v>
      </c>
      <c r="B21" s="8" t="s">
        <v>86</v>
      </c>
      <c r="C21" s="8">
        <v>194</v>
      </c>
      <c r="D21" s="8">
        <v>194</v>
      </c>
      <c r="E21" s="64" t="s">
        <v>93</v>
      </c>
      <c r="F21" s="64" t="s">
        <v>93</v>
      </c>
      <c r="G21" s="8" t="s">
        <v>87</v>
      </c>
      <c r="H21" s="8">
        <v>1000</v>
      </c>
      <c r="I21" s="8" t="s">
        <v>94</v>
      </c>
      <c r="J21" s="6" t="s">
        <v>92</v>
      </c>
      <c r="K21" s="8">
        <v>1</v>
      </c>
      <c r="L21" s="8">
        <v>2</v>
      </c>
      <c r="M21" s="8"/>
      <c r="N21" s="64"/>
      <c r="O21" s="8">
        <v>5</v>
      </c>
      <c r="P21" s="8">
        <v>2</v>
      </c>
      <c r="Q21" s="3"/>
      <c r="R21" s="3"/>
      <c r="S21" s="1"/>
    </row>
    <row r="22" spans="1:19" customFormat="1" x14ac:dyDescent="0.25">
      <c r="A22" s="8">
        <v>113</v>
      </c>
      <c r="B22" s="8" t="s">
        <v>86</v>
      </c>
      <c r="C22" s="8">
        <v>195</v>
      </c>
      <c r="D22" s="8">
        <v>195</v>
      </c>
      <c r="E22" s="64">
        <v>117</v>
      </c>
      <c r="F22" s="64">
        <v>117</v>
      </c>
      <c r="G22" s="8" t="s">
        <v>87</v>
      </c>
      <c r="H22" s="8">
        <v>1000</v>
      </c>
      <c r="I22" s="8" t="s">
        <v>95</v>
      </c>
      <c r="J22" s="6" t="s">
        <v>89</v>
      </c>
      <c r="K22" s="8">
        <v>700</v>
      </c>
      <c r="L22" s="8">
        <v>2</v>
      </c>
      <c r="M22" s="8"/>
      <c r="N22" s="64"/>
      <c r="O22" s="8">
        <v>4</v>
      </c>
      <c r="P22" s="8">
        <v>2</v>
      </c>
      <c r="Q22" s="3"/>
      <c r="R22" s="3"/>
      <c r="S22" s="1"/>
    </row>
    <row r="23" spans="1:19" customFormat="1" x14ac:dyDescent="0.25">
      <c r="A23" s="8">
        <v>114</v>
      </c>
      <c r="B23" s="8" t="s">
        <v>86</v>
      </c>
      <c r="C23" s="8">
        <v>195</v>
      </c>
      <c r="D23" s="8">
        <v>195</v>
      </c>
      <c r="E23" s="64">
        <v>121</v>
      </c>
      <c r="F23" s="64">
        <v>121</v>
      </c>
      <c r="G23" s="8" t="s">
        <v>87</v>
      </c>
      <c r="H23" s="8">
        <v>2100</v>
      </c>
      <c r="I23" s="8" t="s">
        <v>95</v>
      </c>
      <c r="J23" s="6" t="s">
        <v>89</v>
      </c>
      <c r="K23" s="8">
        <v>300</v>
      </c>
      <c r="L23" s="8">
        <v>2</v>
      </c>
      <c r="M23" s="8"/>
      <c r="N23" s="64"/>
      <c r="O23" s="8">
        <v>5</v>
      </c>
      <c r="P23" s="8">
        <v>2</v>
      </c>
      <c r="Q23" s="3"/>
      <c r="R23" s="3"/>
      <c r="S23" s="1"/>
    </row>
    <row r="24" spans="1:19" customFormat="1" x14ac:dyDescent="0.25">
      <c r="A24" s="8">
        <v>115</v>
      </c>
      <c r="B24" s="8" t="s">
        <v>86</v>
      </c>
      <c r="C24" s="8">
        <v>193</v>
      </c>
      <c r="D24" s="8">
        <v>193</v>
      </c>
      <c r="E24" s="64" t="s">
        <v>96</v>
      </c>
      <c r="F24" s="64">
        <v>105</v>
      </c>
      <c r="G24" s="8" t="s">
        <v>87</v>
      </c>
      <c r="H24" s="8">
        <v>1000</v>
      </c>
      <c r="I24" s="8" t="s">
        <v>97</v>
      </c>
      <c r="J24" s="6" t="s">
        <v>92</v>
      </c>
      <c r="K24" s="8">
        <v>10</v>
      </c>
      <c r="L24" s="8">
        <v>2</v>
      </c>
      <c r="M24" s="8"/>
      <c r="N24" s="64"/>
      <c r="O24" s="8">
        <v>4</v>
      </c>
      <c r="P24" s="8">
        <v>1</v>
      </c>
      <c r="Q24" s="3"/>
      <c r="R24" s="3"/>
      <c r="S24" s="1"/>
    </row>
    <row r="25" spans="1:19" customFormat="1" x14ac:dyDescent="0.25">
      <c r="A25" s="8">
        <v>116</v>
      </c>
      <c r="B25" s="8" t="s">
        <v>86</v>
      </c>
      <c r="C25" s="8">
        <v>193</v>
      </c>
      <c r="D25" s="8">
        <v>195</v>
      </c>
      <c r="E25" s="64">
        <v>181</v>
      </c>
      <c r="F25" s="64">
        <v>101</v>
      </c>
      <c r="G25" s="8" t="s">
        <v>87</v>
      </c>
      <c r="H25" s="8">
        <v>10</v>
      </c>
      <c r="I25" s="8" t="s">
        <v>98</v>
      </c>
      <c r="J25" s="6" t="s">
        <v>92</v>
      </c>
      <c r="K25" s="8">
        <v>3</v>
      </c>
      <c r="L25" s="8">
        <v>2</v>
      </c>
      <c r="M25" s="8"/>
      <c r="N25" s="64"/>
      <c r="O25" s="8">
        <v>2</v>
      </c>
      <c r="P25" s="8">
        <v>1</v>
      </c>
      <c r="Q25" s="3"/>
      <c r="R25" s="3"/>
      <c r="S25" s="1"/>
    </row>
    <row r="26" spans="1:19" customFormat="1" x14ac:dyDescent="0.25">
      <c r="A26" s="8">
        <v>117</v>
      </c>
      <c r="B26" s="8" t="s">
        <v>86</v>
      </c>
      <c r="C26" s="8">
        <v>193</v>
      </c>
      <c r="D26" s="8">
        <v>195</v>
      </c>
      <c r="E26" s="64">
        <v>103</v>
      </c>
      <c r="F26" s="64">
        <v>103</v>
      </c>
      <c r="G26" s="8" t="s">
        <v>87</v>
      </c>
      <c r="H26" s="8">
        <v>300</v>
      </c>
      <c r="I26" s="8" t="s">
        <v>98</v>
      </c>
      <c r="J26" s="6" t="s">
        <v>92</v>
      </c>
      <c r="K26" s="8">
        <v>1</v>
      </c>
      <c r="L26" s="8">
        <v>1</v>
      </c>
      <c r="M26" s="8">
        <v>1</v>
      </c>
      <c r="N26" s="64" t="s">
        <v>99</v>
      </c>
      <c r="O26" s="8">
        <v>5</v>
      </c>
      <c r="P26" s="8">
        <v>2</v>
      </c>
      <c r="Q26" s="3"/>
      <c r="R26" s="3"/>
      <c r="S26" s="1"/>
    </row>
    <row r="27" spans="1:19" customFormat="1" x14ac:dyDescent="0.25">
      <c r="A27" s="8">
        <v>118</v>
      </c>
      <c r="B27" s="8" t="s">
        <v>86</v>
      </c>
      <c r="C27" s="8">
        <v>193</v>
      </c>
      <c r="D27" s="8">
        <v>195</v>
      </c>
      <c r="E27" s="64">
        <v>103</v>
      </c>
      <c r="F27" s="64" t="s">
        <v>100</v>
      </c>
      <c r="G27" s="8" t="s">
        <v>87</v>
      </c>
      <c r="H27" s="8">
        <v>400</v>
      </c>
      <c r="I27" s="8" t="s">
        <v>98</v>
      </c>
      <c r="J27" s="6" t="s">
        <v>92</v>
      </c>
      <c r="K27" s="8">
        <v>2</v>
      </c>
      <c r="L27" s="8">
        <v>2</v>
      </c>
      <c r="M27" s="8"/>
      <c r="N27" s="64"/>
      <c r="O27" s="8">
        <v>2</v>
      </c>
      <c r="P27" s="8">
        <v>2</v>
      </c>
      <c r="Q27" s="3"/>
      <c r="R27" s="3"/>
      <c r="S27" s="1"/>
    </row>
    <row r="28" spans="1:19" customFormat="1" x14ac:dyDescent="0.25">
      <c r="A28" s="8">
        <v>119</v>
      </c>
      <c r="B28" s="8" t="s">
        <v>86</v>
      </c>
      <c r="C28" s="8">
        <v>193</v>
      </c>
      <c r="D28" s="8">
        <v>195</v>
      </c>
      <c r="E28" s="64">
        <v>188</v>
      </c>
      <c r="F28" s="64">
        <v>188</v>
      </c>
      <c r="G28" s="8" t="s">
        <v>87</v>
      </c>
      <c r="H28" s="8">
        <v>150</v>
      </c>
      <c r="I28" s="8" t="s">
        <v>101</v>
      </c>
      <c r="J28" s="6" t="s">
        <v>85</v>
      </c>
      <c r="K28" s="8">
        <v>25</v>
      </c>
      <c r="L28" s="8">
        <v>2</v>
      </c>
      <c r="M28" s="8"/>
      <c r="N28" s="64"/>
      <c r="O28" s="8">
        <v>5</v>
      </c>
      <c r="P28" s="8">
        <v>3</v>
      </c>
      <c r="Q28" s="3"/>
      <c r="R28" s="3"/>
      <c r="S28" s="1"/>
    </row>
    <row r="29" spans="1:19" customFormat="1" x14ac:dyDescent="0.25">
      <c r="A29" s="8">
        <v>120</v>
      </c>
      <c r="B29" s="8" t="s">
        <v>86</v>
      </c>
      <c r="C29" s="8">
        <v>194</v>
      </c>
      <c r="D29" s="8">
        <v>195</v>
      </c>
      <c r="E29" s="64">
        <v>106</v>
      </c>
      <c r="F29" s="64">
        <v>106</v>
      </c>
      <c r="G29" s="8" t="s">
        <v>87</v>
      </c>
      <c r="H29" s="8">
        <v>150</v>
      </c>
      <c r="I29" s="8" t="s">
        <v>97</v>
      </c>
      <c r="J29" s="6" t="s">
        <v>92</v>
      </c>
      <c r="K29" s="8">
        <v>10</v>
      </c>
      <c r="L29" s="8">
        <v>2</v>
      </c>
      <c r="M29" s="8"/>
      <c r="N29" s="64"/>
      <c r="O29" s="8">
        <v>4</v>
      </c>
      <c r="P29" s="8">
        <v>1</v>
      </c>
      <c r="Q29" s="3"/>
      <c r="R29" s="3"/>
      <c r="S29" s="1"/>
    </row>
    <row r="30" spans="1:19" customFormat="1" x14ac:dyDescent="0.25">
      <c r="A30" s="8">
        <v>121</v>
      </c>
      <c r="B30" s="8" t="s">
        <v>86</v>
      </c>
      <c r="C30" s="8">
        <v>193</v>
      </c>
      <c r="D30" s="8">
        <v>195</v>
      </c>
      <c r="E30" s="64">
        <v>104</v>
      </c>
      <c r="F30" s="64">
        <v>104</v>
      </c>
      <c r="G30" s="8" t="s">
        <v>87</v>
      </c>
      <c r="H30" s="8">
        <v>1000</v>
      </c>
      <c r="I30" s="8" t="s">
        <v>98</v>
      </c>
      <c r="J30" s="6" t="s">
        <v>92</v>
      </c>
      <c r="K30" s="8">
        <v>400</v>
      </c>
      <c r="L30" s="8">
        <v>2</v>
      </c>
      <c r="M30" s="8"/>
      <c r="N30" s="64"/>
      <c r="O30" s="8">
        <v>7</v>
      </c>
      <c r="P30" s="8">
        <v>3</v>
      </c>
      <c r="Q30" s="3"/>
      <c r="R30" s="3"/>
      <c r="S30" s="1"/>
    </row>
    <row r="31" spans="1:19" customFormat="1" x14ac:dyDescent="0.25">
      <c r="A31" s="8">
        <v>122</v>
      </c>
      <c r="B31" s="8" t="s">
        <v>86</v>
      </c>
      <c r="C31" s="8">
        <v>195</v>
      </c>
      <c r="D31" s="8">
        <v>195</v>
      </c>
      <c r="E31" s="64">
        <v>155</v>
      </c>
      <c r="F31" s="64">
        <v>155</v>
      </c>
      <c r="G31" s="8" t="s">
        <v>87</v>
      </c>
      <c r="H31" s="8">
        <v>1000</v>
      </c>
      <c r="I31" s="8" t="s">
        <v>102</v>
      </c>
      <c r="J31" s="6" t="s">
        <v>92</v>
      </c>
      <c r="K31" s="8">
        <v>20</v>
      </c>
      <c r="L31" s="8">
        <v>2</v>
      </c>
      <c r="M31" s="8"/>
      <c r="N31" s="64"/>
      <c r="O31" s="8">
        <v>4</v>
      </c>
      <c r="P31" s="8">
        <v>1</v>
      </c>
      <c r="Q31" s="3"/>
      <c r="R31" s="3"/>
      <c r="S31" s="1"/>
    </row>
    <row r="32" spans="1:19" customFormat="1" x14ac:dyDescent="0.25">
      <c r="A32" s="8">
        <v>123</v>
      </c>
      <c r="B32" s="8" t="s">
        <v>86</v>
      </c>
      <c r="C32" s="8">
        <v>194</v>
      </c>
      <c r="D32" s="8">
        <v>194</v>
      </c>
      <c r="E32" s="64">
        <v>99</v>
      </c>
      <c r="F32" s="64">
        <v>99</v>
      </c>
      <c r="G32" s="8" t="s">
        <v>87</v>
      </c>
      <c r="H32" s="8">
        <v>1000</v>
      </c>
      <c r="I32" s="8" t="s">
        <v>103</v>
      </c>
      <c r="J32" s="6" t="s">
        <v>85</v>
      </c>
      <c r="K32" s="8">
        <v>1</v>
      </c>
      <c r="L32" s="8">
        <v>2</v>
      </c>
      <c r="M32" s="8"/>
      <c r="N32" s="64"/>
      <c r="O32" s="8">
        <v>3</v>
      </c>
      <c r="P32" s="8">
        <v>1</v>
      </c>
      <c r="Q32" s="3"/>
      <c r="R32" s="3"/>
      <c r="S32" s="1"/>
    </row>
    <row r="33" spans="1:19" customFormat="1" x14ac:dyDescent="0.25">
      <c r="A33" s="8">
        <v>124</v>
      </c>
      <c r="B33" s="8" t="s">
        <v>86</v>
      </c>
      <c r="C33" s="8">
        <v>195</v>
      </c>
      <c r="D33" s="8">
        <v>195</v>
      </c>
      <c r="E33" s="64">
        <v>127</v>
      </c>
      <c r="F33" s="64">
        <v>192</v>
      </c>
      <c r="G33" s="8" t="s">
        <v>87</v>
      </c>
      <c r="H33" s="8">
        <v>500</v>
      </c>
      <c r="I33" s="8" t="s">
        <v>88</v>
      </c>
      <c r="J33" s="6" t="s">
        <v>85</v>
      </c>
      <c r="K33" s="8">
        <v>100</v>
      </c>
      <c r="L33" s="8">
        <v>2</v>
      </c>
      <c r="M33" s="8"/>
      <c r="N33" s="64"/>
      <c r="O33" s="8">
        <v>3</v>
      </c>
      <c r="P33" s="8">
        <v>3</v>
      </c>
      <c r="Q33" s="3"/>
      <c r="R33" s="3"/>
      <c r="S33" s="1"/>
    </row>
    <row r="34" spans="1:19" customFormat="1" x14ac:dyDescent="0.25">
      <c r="A34" s="8">
        <v>125</v>
      </c>
      <c r="B34" s="8" t="s">
        <v>86</v>
      </c>
      <c r="C34" s="8">
        <v>193</v>
      </c>
      <c r="D34" s="8">
        <v>193</v>
      </c>
      <c r="E34" s="64">
        <v>9</v>
      </c>
      <c r="F34" s="64">
        <v>16</v>
      </c>
      <c r="G34" s="8" t="s">
        <v>87</v>
      </c>
      <c r="H34" s="8">
        <v>500</v>
      </c>
      <c r="I34" s="8" t="s">
        <v>97</v>
      </c>
      <c r="J34" s="6" t="s">
        <v>92</v>
      </c>
      <c r="K34" s="8">
        <v>10</v>
      </c>
      <c r="L34" s="8">
        <v>2</v>
      </c>
      <c r="M34" s="8"/>
      <c r="N34" s="64"/>
      <c r="O34" s="8">
        <v>4</v>
      </c>
      <c r="P34" s="8">
        <v>1</v>
      </c>
      <c r="Q34" s="3"/>
      <c r="R34" s="3"/>
      <c r="S34" s="1"/>
    </row>
    <row r="35" spans="1:19" customFormat="1" x14ac:dyDescent="0.25">
      <c r="A35" s="8">
        <v>10</v>
      </c>
      <c r="B35" s="8" t="s">
        <v>86</v>
      </c>
      <c r="C35" s="8">
        <v>194</v>
      </c>
      <c r="D35" s="8">
        <v>195</v>
      </c>
      <c r="E35" s="64">
        <v>142</v>
      </c>
      <c r="F35" s="64">
        <v>142</v>
      </c>
      <c r="G35" s="8" t="s">
        <v>87</v>
      </c>
      <c r="H35" s="8">
        <v>5000</v>
      </c>
      <c r="I35" s="8" t="s">
        <v>94</v>
      </c>
      <c r="J35" s="6" t="s">
        <v>92</v>
      </c>
      <c r="K35" s="8">
        <v>500</v>
      </c>
      <c r="L35" s="8">
        <v>2</v>
      </c>
      <c r="M35" s="8"/>
      <c r="N35" s="64"/>
      <c r="O35" s="8">
        <v>5</v>
      </c>
      <c r="P35" s="8">
        <v>2</v>
      </c>
      <c r="Q35" s="3"/>
      <c r="R35" s="3"/>
      <c r="S35" s="1"/>
    </row>
    <row r="36" spans="1:19" customFormat="1" x14ac:dyDescent="0.25">
      <c r="A36" s="8">
        <v>11</v>
      </c>
      <c r="B36" s="8" t="s">
        <v>86</v>
      </c>
      <c r="C36" s="8">
        <v>195</v>
      </c>
      <c r="D36" s="8">
        <v>195</v>
      </c>
      <c r="E36" s="64">
        <v>114</v>
      </c>
      <c r="F36" s="64">
        <v>114</v>
      </c>
      <c r="G36" s="8" t="s">
        <v>87</v>
      </c>
      <c r="H36" s="8">
        <v>1000</v>
      </c>
      <c r="I36" s="8" t="s">
        <v>104</v>
      </c>
      <c r="J36" s="6" t="s">
        <v>89</v>
      </c>
      <c r="K36" s="8">
        <v>400</v>
      </c>
      <c r="L36" s="8">
        <v>1</v>
      </c>
      <c r="M36" s="8">
        <v>1</v>
      </c>
      <c r="N36" s="64">
        <v>2</v>
      </c>
      <c r="O36" s="8">
        <v>3</v>
      </c>
      <c r="P36" s="8">
        <v>3</v>
      </c>
      <c r="Q36" s="3"/>
      <c r="R36" s="3"/>
      <c r="S36" s="1"/>
    </row>
    <row r="37" spans="1:19" customFormat="1" x14ac:dyDescent="0.25">
      <c r="A37" s="8">
        <v>12</v>
      </c>
      <c r="B37" s="8" t="s">
        <v>86</v>
      </c>
      <c r="C37" s="8">
        <v>194</v>
      </c>
      <c r="D37" s="8">
        <v>195</v>
      </c>
      <c r="E37" s="64">
        <v>164</v>
      </c>
      <c r="F37" s="64">
        <v>164</v>
      </c>
      <c r="G37" s="8" t="s">
        <v>87</v>
      </c>
      <c r="H37" s="8">
        <v>400</v>
      </c>
      <c r="I37" s="8" t="s">
        <v>102</v>
      </c>
      <c r="J37" s="6" t="s">
        <v>85</v>
      </c>
      <c r="K37" s="8">
        <v>300</v>
      </c>
      <c r="L37" s="8">
        <v>2</v>
      </c>
      <c r="M37" s="8"/>
      <c r="N37" s="64"/>
      <c r="O37" s="8">
        <v>5</v>
      </c>
      <c r="P37" s="8">
        <v>1</v>
      </c>
      <c r="Q37" s="3"/>
      <c r="R37" s="3"/>
      <c r="S37" s="1"/>
    </row>
    <row r="38" spans="1:19" customFormat="1" x14ac:dyDescent="0.25">
      <c r="A38" s="8">
        <v>13</v>
      </c>
      <c r="B38" s="8" t="s">
        <v>86</v>
      </c>
      <c r="C38" s="8">
        <v>194</v>
      </c>
      <c r="D38" s="8">
        <v>194</v>
      </c>
      <c r="E38" s="64">
        <v>120</v>
      </c>
      <c r="F38" s="64">
        <v>100</v>
      </c>
      <c r="G38" s="8" t="s">
        <v>87</v>
      </c>
      <c r="H38" s="8">
        <v>10</v>
      </c>
      <c r="I38" s="8" t="s">
        <v>105</v>
      </c>
      <c r="J38" s="6" t="s">
        <v>85</v>
      </c>
      <c r="K38" s="8">
        <v>5</v>
      </c>
      <c r="L38" s="8">
        <v>2</v>
      </c>
      <c r="M38" s="8"/>
      <c r="N38" s="64"/>
      <c r="O38" s="8">
        <v>6</v>
      </c>
      <c r="P38" s="8">
        <v>1</v>
      </c>
      <c r="Q38" s="3"/>
      <c r="R38" s="3"/>
      <c r="S38" s="1"/>
    </row>
    <row r="39" spans="1:19" customFormat="1" x14ac:dyDescent="0.25">
      <c r="A39" s="8">
        <v>14</v>
      </c>
      <c r="B39" s="8" t="s">
        <v>86</v>
      </c>
      <c r="C39" s="8">
        <v>195</v>
      </c>
      <c r="D39" s="8">
        <v>195</v>
      </c>
      <c r="E39" s="64">
        <v>138</v>
      </c>
      <c r="F39" s="64">
        <v>138</v>
      </c>
      <c r="G39" s="8" t="s">
        <v>87</v>
      </c>
      <c r="H39" s="8">
        <v>2000</v>
      </c>
      <c r="I39" s="8" t="s">
        <v>104</v>
      </c>
      <c r="J39" s="6" t="s">
        <v>89</v>
      </c>
      <c r="K39" s="8">
        <v>500</v>
      </c>
      <c r="L39" s="8">
        <v>1</v>
      </c>
      <c r="M39" s="8">
        <v>1</v>
      </c>
      <c r="N39" s="64" t="s">
        <v>106</v>
      </c>
      <c r="O39" s="8">
        <v>4</v>
      </c>
      <c r="P39" s="8">
        <v>1</v>
      </c>
      <c r="Q39" s="3"/>
      <c r="R39" s="3"/>
      <c r="S39" s="1"/>
    </row>
    <row r="40" spans="1:19" customFormat="1" x14ac:dyDescent="0.25">
      <c r="A40" s="8">
        <v>15</v>
      </c>
      <c r="B40" s="8" t="s">
        <v>86</v>
      </c>
      <c r="C40" s="8">
        <v>195</v>
      </c>
      <c r="D40" s="8">
        <v>195</v>
      </c>
      <c r="E40" s="64" t="s">
        <v>107</v>
      </c>
      <c r="F40" s="64" t="s">
        <v>107</v>
      </c>
      <c r="G40" s="8" t="s">
        <v>87</v>
      </c>
      <c r="H40" s="8">
        <v>5000</v>
      </c>
      <c r="I40" s="8" t="s">
        <v>104</v>
      </c>
      <c r="J40" s="6" t="s">
        <v>89</v>
      </c>
      <c r="K40" s="8">
        <v>5</v>
      </c>
      <c r="L40" s="8">
        <v>1</v>
      </c>
      <c r="M40" s="8">
        <v>1</v>
      </c>
      <c r="N40" s="64">
        <v>4</v>
      </c>
      <c r="O40" s="8">
        <v>2</v>
      </c>
      <c r="P40" s="8">
        <v>2</v>
      </c>
      <c r="Q40" s="3"/>
      <c r="R40" s="3"/>
      <c r="S40" s="1"/>
    </row>
    <row r="41" spans="1:19" customFormat="1" x14ac:dyDescent="0.25">
      <c r="A41" s="8">
        <v>16</v>
      </c>
      <c r="B41" s="8" t="s">
        <v>86</v>
      </c>
      <c r="C41" s="8">
        <v>195</v>
      </c>
      <c r="D41" s="8">
        <v>195</v>
      </c>
      <c r="E41" s="64">
        <v>141</v>
      </c>
      <c r="F41" s="64">
        <v>141</v>
      </c>
      <c r="G41" s="8" t="s">
        <v>87</v>
      </c>
      <c r="H41" s="8">
        <v>2100</v>
      </c>
      <c r="I41" s="8" t="s">
        <v>104</v>
      </c>
      <c r="J41" s="6" t="s">
        <v>89</v>
      </c>
      <c r="K41" s="8">
        <v>300</v>
      </c>
      <c r="L41" s="8">
        <v>2</v>
      </c>
      <c r="M41" s="8" t="s">
        <v>108</v>
      </c>
      <c r="N41" s="64"/>
      <c r="O41" s="8">
        <v>3</v>
      </c>
      <c r="P41" s="8">
        <v>1</v>
      </c>
      <c r="Q41" s="3"/>
      <c r="R41" s="3"/>
      <c r="S41" s="1"/>
    </row>
    <row r="42" spans="1:19" customFormat="1" x14ac:dyDescent="0.25">
      <c r="A42" s="8">
        <v>17</v>
      </c>
      <c r="B42" s="8" t="s">
        <v>86</v>
      </c>
      <c r="C42" s="8">
        <v>195</v>
      </c>
      <c r="D42" s="8">
        <v>195</v>
      </c>
      <c r="E42" s="64">
        <v>124</v>
      </c>
      <c r="F42" s="64">
        <v>121</v>
      </c>
      <c r="G42" s="8" t="s">
        <v>87</v>
      </c>
      <c r="H42" s="8">
        <v>2200</v>
      </c>
      <c r="I42" s="8" t="s">
        <v>109</v>
      </c>
      <c r="J42" s="6" t="s">
        <v>89</v>
      </c>
      <c r="K42" s="8">
        <v>600</v>
      </c>
      <c r="L42" s="8">
        <v>2</v>
      </c>
      <c r="M42" s="8"/>
      <c r="N42" s="64"/>
      <c r="O42" s="8">
        <v>4</v>
      </c>
      <c r="P42" s="8">
        <v>2</v>
      </c>
      <c r="Q42" s="3"/>
      <c r="R42" s="3"/>
      <c r="S42" s="1"/>
    </row>
    <row r="43" spans="1:19" customFormat="1" x14ac:dyDescent="0.25">
      <c r="A43" s="8">
        <v>18</v>
      </c>
      <c r="B43" s="8" t="s">
        <v>86</v>
      </c>
      <c r="C43" s="8">
        <v>195</v>
      </c>
      <c r="D43" s="8">
        <v>195</v>
      </c>
      <c r="E43" s="64">
        <v>113</v>
      </c>
      <c r="F43" s="64">
        <v>113</v>
      </c>
      <c r="G43" s="8" t="s">
        <v>87</v>
      </c>
      <c r="H43" s="8">
        <v>1000</v>
      </c>
      <c r="I43" s="8" t="s">
        <v>104</v>
      </c>
      <c r="J43" s="6" t="s">
        <v>89</v>
      </c>
      <c r="K43" s="8">
        <v>5</v>
      </c>
      <c r="L43" s="8">
        <v>2</v>
      </c>
      <c r="M43" s="8"/>
      <c r="N43" s="64"/>
      <c r="O43" s="8">
        <v>3</v>
      </c>
      <c r="P43" s="8">
        <v>1</v>
      </c>
      <c r="Q43" s="3"/>
      <c r="R43" s="3"/>
      <c r="S43" s="1"/>
    </row>
    <row r="44" spans="1:19" customFormat="1" x14ac:dyDescent="0.25">
      <c r="A44" s="8">
        <v>19</v>
      </c>
      <c r="B44" s="8" t="s">
        <v>86</v>
      </c>
      <c r="C44" s="8">
        <v>194</v>
      </c>
      <c r="D44" s="8">
        <v>195</v>
      </c>
      <c r="E44" s="64">
        <v>107</v>
      </c>
      <c r="F44" s="64">
        <v>107</v>
      </c>
      <c r="G44" s="8" t="s">
        <v>87</v>
      </c>
      <c r="H44" s="8">
        <v>500</v>
      </c>
      <c r="I44" s="8" t="s">
        <v>97</v>
      </c>
      <c r="J44" s="6" t="s">
        <v>92</v>
      </c>
      <c r="K44" s="8">
        <v>15</v>
      </c>
      <c r="L44" s="8">
        <v>2</v>
      </c>
      <c r="M44" s="8"/>
      <c r="N44" s="64"/>
      <c r="O44" s="8">
        <v>4</v>
      </c>
      <c r="P44" s="8">
        <v>1</v>
      </c>
      <c r="Q44" s="3"/>
      <c r="R44" s="3"/>
      <c r="S44" s="1"/>
    </row>
    <row r="45" spans="1:19" customFormat="1" x14ac:dyDescent="0.25">
      <c r="A45" s="8">
        <v>20</v>
      </c>
      <c r="B45" s="8" t="s">
        <v>86</v>
      </c>
      <c r="C45" s="8">
        <v>194</v>
      </c>
      <c r="D45" s="8">
        <v>195</v>
      </c>
      <c r="E45" s="64">
        <v>176</v>
      </c>
      <c r="F45" s="64">
        <v>176</v>
      </c>
      <c r="G45" s="8" t="s">
        <v>87</v>
      </c>
      <c r="H45" s="8">
        <v>250</v>
      </c>
      <c r="I45" s="8" t="s">
        <v>101</v>
      </c>
      <c r="J45" s="6" t="s">
        <v>85</v>
      </c>
      <c r="K45" s="8">
        <v>5</v>
      </c>
      <c r="L45" s="8">
        <v>2</v>
      </c>
      <c r="M45" s="8"/>
      <c r="N45" s="64"/>
      <c r="O45" s="8">
        <v>5</v>
      </c>
      <c r="P45" s="8">
        <v>1</v>
      </c>
      <c r="Q45" s="3"/>
      <c r="R45" s="3"/>
      <c r="S45" s="1"/>
    </row>
    <row r="46" spans="1:19" customFormat="1" x14ac:dyDescent="0.25">
      <c r="A46" s="8">
        <v>21</v>
      </c>
      <c r="B46" s="8" t="s">
        <v>86</v>
      </c>
      <c r="C46" s="8">
        <v>194</v>
      </c>
      <c r="D46" s="8">
        <v>195</v>
      </c>
      <c r="E46" s="64">
        <v>149</v>
      </c>
      <c r="F46" s="64">
        <v>149</v>
      </c>
      <c r="G46" s="8" t="s">
        <v>87</v>
      </c>
      <c r="H46" s="8">
        <v>1000</v>
      </c>
      <c r="I46" s="8" t="s">
        <v>94</v>
      </c>
      <c r="J46" s="6" t="s">
        <v>92</v>
      </c>
      <c r="K46" s="8">
        <v>300</v>
      </c>
      <c r="L46" s="8">
        <v>2</v>
      </c>
      <c r="M46" s="8"/>
      <c r="N46" s="64"/>
      <c r="O46" s="8">
        <v>5</v>
      </c>
      <c r="P46" s="8">
        <v>2</v>
      </c>
      <c r="Q46" s="3"/>
      <c r="R46" s="3"/>
      <c r="S46" s="1"/>
    </row>
    <row r="47" spans="1:19" customFormat="1" x14ac:dyDescent="0.25">
      <c r="A47" s="8">
        <v>22</v>
      </c>
      <c r="B47" s="8" t="s">
        <v>86</v>
      </c>
      <c r="C47" s="8">
        <v>195</v>
      </c>
      <c r="D47" s="8">
        <v>195</v>
      </c>
      <c r="E47" s="64">
        <v>182</v>
      </c>
      <c r="F47" s="64">
        <v>182</v>
      </c>
      <c r="G47" s="8" t="s">
        <v>87</v>
      </c>
      <c r="H47" s="8">
        <v>5000</v>
      </c>
      <c r="I47" s="8" t="s">
        <v>101</v>
      </c>
      <c r="J47" s="6" t="s">
        <v>85</v>
      </c>
      <c r="K47" s="8">
        <v>2</v>
      </c>
      <c r="L47" s="8">
        <v>2</v>
      </c>
      <c r="M47" s="8"/>
      <c r="N47" s="64"/>
      <c r="O47" s="8">
        <v>3</v>
      </c>
      <c r="P47" s="8">
        <v>2</v>
      </c>
      <c r="Q47" s="3"/>
      <c r="R47" s="3"/>
      <c r="S47" s="1"/>
    </row>
    <row r="48" spans="1:19" customFormat="1" x14ac:dyDescent="0.25">
      <c r="A48" s="8">
        <v>23</v>
      </c>
      <c r="B48" s="8" t="s">
        <v>86</v>
      </c>
      <c r="C48" s="8">
        <v>194</v>
      </c>
      <c r="D48" s="8">
        <v>195</v>
      </c>
      <c r="E48" s="64">
        <v>201</v>
      </c>
      <c r="F48" s="64">
        <v>134</v>
      </c>
      <c r="G48" s="8" t="s">
        <v>87</v>
      </c>
      <c r="H48" s="8">
        <v>2500</v>
      </c>
      <c r="I48" s="8" t="s">
        <v>104</v>
      </c>
      <c r="J48" s="6" t="s">
        <v>89</v>
      </c>
      <c r="K48" s="8">
        <v>500</v>
      </c>
      <c r="L48" s="8">
        <v>2</v>
      </c>
      <c r="M48" s="8"/>
      <c r="N48" s="64"/>
      <c r="O48" s="8">
        <v>3</v>
      </c>
      <c r="P48" s="8">
        <v>3</v>
      </c>
      <c r="Q48" s="3"/>
      <c r="R48" s="3"/>
      <c r="S48" s="1"/>
    </row>
    <row r="49" spans="1:19" customFormat="1" x14ac:dyDescent="0.25">
      <c r="A49" s="8">
        <v>24</v>
      </c>
      <c r="B49" s="8" t="s">
        <v>86</v>
      </c>
      <c r="C49" s="8">
        <v>194</v>
      </c>
      <c r="D49" s="8">
        <v>195</v>
      </c>
      <c r="E49" s="64">
        <v>169</v>
      </c>
      <c r="F49" s="64">
        <v>169</v>
      </c>
      <c r="G49" s="8" t="s">
        <v>87</v>
      </c>
      <c r="H49" s="8">
        <v>1250</v>
      </c>
      <c r="I49" s="8" t="s">
        <v>101</v>
      </c>
      <c r="J49" s="6" t="s">
        <v>85</v>
      </c>
      <c r="K49" s="8">
        <v>1000</v>
      </c>
      <c r="L49" s="8">
        <v>2</v>
      </c>
      <c r="M49" s="8"/>
      <c r="N49" s="64"/>
      <c r="O49" s="8">
        <v>4</v>
      </c>
      <c r="P49" s="8">
        <v>1</v>
      </c>
      <c r="Q49" s="3"/>
      <c r="R49" s="3"/>
      <c r="S49" s="1"/>
    </row>
    <row r="50" spans="1:19" customFormat="1" x14ac:dyDescent="0.25">
      <c r="A50" s="9">
        <v>301</v>
      </c>
      <c r="B50" s="9" t="s">
        <v>86</v>
      </c>
      <c r="C50" s="9">
        <v>194</v>
      </c>
      <c r="D50" s="9">
        <v>195</v>
      </c>
      <c r="E50" s="65">
        <v>172</v>
      </c>
      <c r="F50" s="65">
        <v>172</v>
      </c>
      <c r="G50" s="9" t="s">
        <v>87</v>
      </c>
      <c r="H50" s="9">
        <v>400</v>
      </c>
      <c r="I50" s="9" t="s">
        <v>101</v>
      </c>
      <c r="J50" s="7" t="s">
        <v>85</v>
      </c>
      <c r="K50" s="9"/>
      <c r="L50" s="9">
        <v>2</v>
      </c>
      <c r="M50" s="9"/>
      <c r="N50" s="65"/>
      <c r="O50" s="9">
        <v>5</v>
      </c>
      <c r="P50" s="9">
        <v>2</v>
      </c>
      <c r="Q50" s="3"/>
      <c r="R50" s="3"/>
      <c r="S50" s="1"/>
    </row>
    <row r="51" spans="1:19" s="3" customFormat="1" x14ac:dyDescent="0.25">
      <c r="A51" s="59"/>
      <c r="B51" s="59"/>
      <c r="C51" s="59"/>
      <c r="D51" s="59"/>
      <c r="E51" s="62"/>
      <c r="F51" s="62"/>
      <c r="G51" s="59"/>
      <c r="H51" s="59"/>
      <c r="I51" s="59"/>
      <c r="J51" s="59"/>
      <c r="K51" s="59"/>
      <c r="L51" s="59"/>
      <c r="M51" s="59"/>
      <c r="N51" s="62"/>
      <c r="O51" s="59"/>
      <c r="P51" s="59"/>
    </row>
    <row r="52" spans="1:19" customFormat="1" x14ac:dyDescent="0.25">
      <c r="A52" s="10">
        <v>137</v>
      </c>
      <c r="B52" s="10" t="s">
        <v>110</v>
      </c>
      <c r="C52" s="10">
        <v>195</v>
      </c>
      <c r="D52" s="10">
        <v>195</v>
      </c>
      <c r="E52" s="63">
        <v>230</v>
      </c>
      <c r="F52" s="63">
        <v>230</v>
      </c>
      <c r="G52" s="10" t="s">
        <v>111</v>
      </c>
      <c r="H52" s="10">
        <v>1500</v>
      </c>
      <c r="I52" s="10" t="s">
        <v>115</v>
      </c>
      <c r="J52" s="11" t="s">
        <v>89</v>
      </c>
      <c r="K52" s="10">
        <v>5</v>
      </c>
      <c r="L52" s="10">
        <v>2</v>
      </c>
      <c r="M52" s="10"/>
      <c r="N52" s="63"/>
      <c r="O52" s="10">
        <v>2</v>
      </c>
      <c r="P52" s="10">
        <v>2</v>
      </c>
      <c r="Q52" s="5"/>
      <c r="R52" s="5"/>
    </row>
    <row r="53" spans="1:19" customFormat="1" x14ac:dyDescent="0.25">
      <c r="A53" s="8">
        <v>134</v>
      </c>
      <c r="B53" s="8" t="s">
        <v>110</v>
      </c>
      <c r="C53" s="8">
        <v>194</v>
      </c>
      <c r="D53" s="8">
        <v>194</v>
      </c>
      <c r="E53" s="64">
        <v>211</v>
      </c>
      <c r="F53" s="64">
        <v>211</v>
      </c>
      <c r="G53" s="8" t="s">
        <v>111</v>
      </c>
      <c r="H53" s="8">
        <v>500</v>
      </c>
      <c r="I53" s="8" t="s">
        <v>119</v>
      </c>
      <c r="J53" s="6" t="s">
        <v>85</v>
      </c>
      <c r="K53" s="8">
        <v>5</v>
      </c>
      <c r="L53" s="8">
        <v>1</v>
      </c>
      <c r="M53" s="8">
        <v>1</v>
      </c>
      <c r="N53" s="64">
        <v>5</v>
      </c>
      <c r="O53" s="8">
        <v>8</v>
      </c>
      <c r="P53" s="8">
        <v>2</v>
      </c>
      <c r="Q53" s="5"/>
      <c r="R53" s="5"/>
    </row>
    <row r="54" spans="1:19" customFormat="1" x14ac:dyDescent="0.25">
      <c r="A54" s="8">
        <v>130</v>
      </c>
      <c r="B54" s="8" t="s">
        <v>110</v>
      </c>
      <c r="C54" s="8">
        <v>195</v>
      </c>
      <c r="D54" s="8">
        <v>195</v>
      </c>
      <c r="E54" s="64">
        <v>224</v>
      </c>
      <c r="F54" s="64">
        <v>224</v>
      </c>
      <c r="G54" s="8" t="s">
        <v>111</v>
      </c>
      <c r="H54" s="8">
        <v>250</v>
      </c>
      <c r="I54" s="8" t="s">
        <v>115</v>
      </c>
      <c r="J54" s="6" t="s">
        <v>89</v>
      </c>
      <c r="K54" s="8">
        <v>500</v>
      </c>
      <c r="L54" s="8">
        <v>1</v>
      </c>
      <c r="M54" s="8">
        <v>1</v>
      </c>
      <c r="N54" s="64">
        <v>3</v>
      </c>
      <c r="O54" s="8">
        <v>6</v>
      </c>
      <c r="P54" s="8">
        <v>1</v>
      </c>
      <c r="Q54" s="5"/>
      <c r="R54" s="5"/>
    </row>
    <row r="55" spans="1:19" customFormat="1" x14ac:dyDescent="0.25">
      <c r="A55" s="8">
        <v>131</v>
      </c>
      <c r="B55" s="8" t="s">
        <v>110</v>
      </c>
      <c r="C55" s="8">
        <v>194</v>
      </c>
      <c r="D55" s="8">
        <v>195</v>
      </c>
      <c r="E55" s="64">
        <v>248</v>
      </c>
      <c r="F55" s="64">
        <v>248</v>
      </c>
      <c r="G55" s="8" t="s">
        <v>111</v>
      </c>
      <c r="H55" s="8">
        <v>1000</v>
      </c>
      <c r="I55" s="8" t="s">
        <v>112</v>
      </c>
      <c r="J55" s="6" t="s">
        <v>89</v>
      </c>
      <c r="K55" s="8">
        <v>1000</v>
      </c>
      <c r="L55" s="8">
        <v>2</v>
      </c>
      <c r="M55" s="8"/>
      <c r="N55" s="64"/>
      <c r="O55" s="8">
        <v>4</v>
      </c>
      <c r="P55" s="8">
        <v>1</v>
      </c>
      <c r="Q55" s="5"/>
      <c r="R55" s="5"/>
    </row>
    <row r="56" spans="1:19" customFormat="1" x14ac:dyDescent="0.25">
      <c r="A56" s="8">
        <v>132</v>
      </c>
      <c r="B56" s="8" t="s">
        <v>110</v>
      </c>
      <c r="C56" s="8">
        <v>194</v>
      </c>
      <c r="D56" s="8">
        <v>195</v>
      </c>
      <c r="E56" s="64">
        <v>247</v>
      </c>
      <c r="F56" s="64">
        <v>247</v>
      </c>
      <c r="G56" s="8" t="s">
        <v>111</v>
      </c>
      <c r="H56" s="8">
        <v>1000</v>
      </c>
      <c r="I56" s="8" t="s">
        <v>112</v>
      </c>
      <c r="J56" s="6" t="s">
        <v>89</v>
      </c>
      <c r="K56" s="8">
        <v>1000</v>
      </c>
      <c r="L56" s="8">
        <v>2</v>
      </c>
      <c r="M56" s="8"/>
      <c r="N56" s="64"/>
      <c r="O56" s="8">
        <v>4</v>
      </c>
      <c r="P56" s="8">
        <v>1</v>
      </c>
      <c r="Q56" s="5"/>
      <c r="R56" s="5"/>
    </row>
    <row r="57" spans="1:19" customFormat="1" x14ac:dyDescent="0.25">
      <c r="A57" s="8">
        <v>133</v>
      </c>
      <c r="B57" s="8" t="s">
        <v>110</v>
      </c>
      <c r="C57" s="8">
        <v>194</v>
      </c>
      <c r="D57" s="8">
        <v>195</v>
      </c>
      <c r="E57" s="64">
        <v>216</v>
      </c>
      <c r="F57" s="64">
        <v>216</v>
      </c>
      <c r="G57" s="8" t="s">
        <v>111</v>
      </c>
      <c r="H57" s="8">
        <v>1000</v>
      </c>
      <c r="I57" s="8" t="s">
        <v>248</v>
      </c>
      <c r="J57" s="6" t="s">
        <v>92</v>
      </c>
      <c r="K57" s="8">
        <v>1000</v>
      </c>
      <c r="L57" s="8">
        <v>1</v>
      </c>
      <c r="M57" s="8">
        <v>1</v>
      </c>
      <c r="N57" s="64">
        <v>4</v>
      </c>
      <c r="O57" s="8">
        <v>2</v>
      </c>
      <c r="P57" s="8">
        <v>1</v>
      </c>
      <c r="Q57" s="5"/>
      <c r="R57" s="5"/>
    </row>
    <row r="58" spans="1:19" customFormat="1" x14ac:dyDescent="0.25">
      <c r="A58" s="8">
        <v>34</v>
      </c>
      <c r="B58" s="8" t="s">
        <v>110</v>
      </c>
      <c r="C58" s="8">
        <v>194</v>
      </c>
      <c r="D58" s="8">
        <v>195</v>
      </c>
      <c r="E58" s="64">
        <v>213</v>
      </c>
      <c r="F58" s="64">
        <v>213</v>
      </c>
      <c r="G58" s="8" t="s">
        <v>111</v>
      </c>
      <c r="H58" s="8">
        <v>750</v>
      </c>
      <c r="I58" s="8" t="s">
        <v>248</v>
      </c>
      <c r="J58" s="6" t="s">
        <v>92</v>
      </c>
      <c r="K58" s="8">
        <v>400</v>
      </c>
      <c r="L58" s="8">
        <v>2</v>
      </c>
      <c r="M58" s="8"/>
      <c r="N58" s="64"/>
      <c r="O58" s="8">
        <v>5</v>
      </c>
      <c r="P58" s="8">
        <v>1</v>
      </c>
      <c r="Q58" s="5"/>
      <c r="R58" s="5"/>
    </row>
    <row r="59" spans="1:19" customFormat="1" x14ac:dyDescent="0.25">
      <c r="A59" s="8">
        <v>35</v>
      </c>
      <c r="B59" s="8" t="s">
        <v>110</v>
      </c>
      <c r="C59" s="8">
        <v>194</v>
      </c>
      <c r="D59" s="8">
        <v>195</v>
      </c>
      <c r="E59" s="64" t="s">
        <v>116</v>
      </c>
      <c r="F59" s="64">
        <v>218</v>
      </c>
      <c r="G59" s="8" t="s">
        <v>111</v>
      </c>
      <c r="H59" s="8">
        <v>750</v>
      </c>
      <c r="I59" s="8" t="s">
        <v>115</v>
      </c>
      <c r="J59" s="6" t="s">
        <v>89</v>
      </c>
      <c r="K59" s="8">
        <v>5</v>
      </c>
      <c r="L59" s="8">
        <v>2</v>
      </c>
      <c r="M59" s="8"/>
      <c r="N59" s="64"/>
      <c r="O59" s="8">
        <v>3</v>
      </c>
      <c r="P59" s="8">
        <v>2</v>
      </c>
      <c r="Q59" s="5"/>
      <c r="R59" s="5"/>
    </row>
    <row r="60" spans="1:19" customFormat="1" x14ac:dyDescent="0.25">
      <c r="A60" s="8">
        <v>33</v>
      </c>
      <c r="B60" s="8" t="s">
        <v>110</v>
      </c>
      <c r="C60" s="8">
        <v>194</v>
      </c>
      <c r="D60" s="8">
        <v>195</v>
      </c>
      <c r="E60" s="64">
        <v>249</v>
      </c>
      <c r="F60" s="64">
        <v>249</v>
      </c>
      <c r="G60" s="8" t="s">
        <v>111</v>
      </c>
      <c r="H60" s="8">
        <v>1000</v>
      </c>
      <c r="I60" s="8" t="s">
        <v>112</v>
      </c>
      <c r="J60" s="6" t="s">
        <v>89</v>
      </c>
      <c r="K60" s="8">
        <v>2</v>
      </c>
      <c r="L60" s="8">
        <v>2</v>
      </c>
      <c r="M60" s="8"/>
      <c r="N60" s="64"/>
      <c r="O60" s="8">
        <v>5</v>
      </c>
      <c r="P60" s="8">
        <v>1</v>
      </c>
      <c r="Q60" s="5"/>
      <c r="R60" s="5"/>
    </row>
    <row r="61" spans="1:19" customFormat="1" x14ac:dyDescent="0.25">
      <c r="A61" s="8">
        <v>32</v>
      </c>
      <c r="B61" s="8" t="s">
        <v>110</v>
      </c>
      <c r="C61" s="8">
        <v>194</v>
      </c>
      <c r="D61" s="8">
        <v>195</v>
      </c>
      <c r="E61" s="64" t="s">
        <v>117</v>
      </c>
      <c r="F61" s="64" t="s">
        <v>117</v>
      </c>
      <c r="G61" s="8" t="s">
        <v>111</v>
      </c>
      <c r="H61" s="8">
        <v>1500</v>
      </c>
      <c r="I61" s="8" t="s">
        <v>112</v>
      </c>
      <c r="J61" s="6" t="s">
        <v>89</v>
      </c>
      <c r="K61" s="8">
        <v>15</v>
      </c>
      <c r="L61" s="8">
        <v>2</v>
      </c>
      <c r="M61" s="8"/>
      <c r="N61" s="64"/>
      <c r="O61" s="8">
        <v>9</v>
      </c>
      <c r="P61" s="8">
        <v>1</v>
      </c>
      <c r="Q61" s="5"/>
      <c r="R61" s="5"/>
    </row>
    <row r="62" spans="1:19" customFormat="1" x14ac:dyDescent="0.25">
      <c r="A62" s="8">
        <v>31</v>
      </c>
      <c r="B62" s="8" t="s">
        <v>110</v>
      </c>
      <c r="C62" s="8">
        <v>194</v>
      </c>
      <c r="D62" s="8">
        <v>195</v>
      </c>
      <c r="E62" s="64" t="s">
        <v>118</v>
      </c>
      <c r="F62" s="64">
        <v>217</v>
      </c>
      <c r="G62" s="8" t="s">
        <v>111</v>
      </c>
      <c r="H62" s="8">
        <v>1000</v>
      </c>
      <c r="I62" s="8" t="s">
        <v>248</v>
      </c>
      <c r="J62" s="6" t="s">
        <v>92</v>
      </c>
      <c r="K62" s="8">
        <v>1000</v>
      </c>
      <c r="L62" s="8">
        <v>1</v>
      </c>
      <c r="M62" s="8">
        <v>1</v>
      </c>
      <c r="N62" s="64">
        <v>5</v>
      </c>
      <c r="O62" s="8">
        <v>6</v>
      </c>
      <c r="P62" s="8">
        <v>2</v>
      </c>
      <c r="Q62" s="5"/>
      <c r="R62" s="5"/>
    </row>
    <row r="63" spans="1:19" customFormat="1" x14ac:dyDescent="0.25">
      <c r="A63" s="8">
        <v>142</v>
      </c>
      <c r="B63" s="8" t="s">
        <v>110</v>
      </c>
      <c r="C63" s="8">
        <v>194</v>
      </c>
      <c r="D63" s="8">
        <v>195</v>
      </c>
      <c r="E63" s="64"/>
      <c r="F63" s="64"/>
      <c r="G63" s="8" t="s">
        <v>111</v>
      </c>
      <c r="H63" s="8">
        <v>1500</v>
      </c>
      <c r="I63" s="8" t="s">
        <v>112</v>
      </c>
      <c r="J63" s="6" t="s">
        <v>89</v>
      </c>
      <c r="K63" s="8">
        <v>2</v>
      </c>
      <c r="L63" s="8">
        <v>2</v>
      </c>
      <c r="M63" s="8"/>
      <c r="N63" s="64"/>
      <c r="O63" s="8">
        <v>5</v>
      </c>
      <c r="P63" s="8">
        <v>1</v>
      </c>
      <c r="Q63" s="5"/>
      <c r="R63" s="5"/>
    </row>
    <row r="64" spans="1:19" customFormat="1" x14ac:dyDescent="0.25">
      <c r="A64" s="8">
        <v>30</v>
      </c>
      <c r="B64" s="8" t="s">
        <v>110</v>
      </c>
      <c r="C64" s="8">
        <v>194</v>
      </c>
      <c r="D64" s="8">
        <v>195</v>
      </c>
      <c r="E64" s="64">
        <v>210</v>
      </c>
      <c r="F64" s="64">
        <v>210</v>
      </c>
      <c r="G64" s="8" t="s">
        <v>111</v>
      </c>
      <c r="H64" s="8">
        <v>500</v>
      </c>
      <c r="I64" s="8" t="s">
        <v>119</v>
      </c>
      <c r="J64" s="6" t="s">
        <v>85</v>
      </c>
      <c r="K64" s="8">
        <v>50</v>
      </c>
      <c r="L64" s="8">
        <v>2</v>
      </c>
      <c r="M64" s="8"/>
      <c r="N64" s="64"/>
      <c r="O64" s="8">
        <v>8</v>
      </c>
      <c r="P64" s="8">
        <v>2</v>
      </c>
      <c r="Q64" s="5"/>
      <c r="R64" s="5"/>
    </row>
    <row r="65" spans="1:18" customFormat="1" x14ac:dyDescent="0.25">
      <c r="A65" s="8">
        <v>38</v>
      </c>
      <c r="B65" s="8" t="s">
        <v>110</v>
      </c>
      <c r="C65" s="8">
        <v>195</v>
      </c>
      <c r="D65" s="8">
        <v>195</v>
      </c>
      <c r="E65" s="64" t="s">
        <v>120</v>
      </c>
      <c r="F65" s="64" t="s">
        <v>120</v>
      </c>
      <c r="G65" s="8" t="s">
        <v>111</v>
      </c>
      <c r="H65" s="8">
        <v>2500</v>
      </c>
      <c r="I65" s="8" t="s">
        <v>115</v>
      </c>
      <c r="J65" s="6" t="s">
        <v>89</v>
      </c>
      <c r="K65" s="8">
        <v>5</v>
      </c>
      <c r="L65" s="8">
        <v>1</v>
      </c>
      <c r="M65" s="8">
        <v>1</v>
      </c>
      <c r="N65" s="64">
        <v>2</v>
      </c>
      <c r="O65" s="8">
        <v>6</v>
      </c>
      <c r="P65" s="8">
        <v>1</v>
      </c>
      <c r="Q65" s="5"/>
      <c r="R65" s="5"/>
    </row>
    <row r="66" spans="1:18" customFormat="1" x14ac:dyDescent="0.25">
      <c r="A66" s="8">
        <v>36</v>
      </c>
      <c r="B66" s="8" t="s">
        <v>110</v>
      </c>
      <c r="C66" s="8">
        <v>194</v>
      </c>
      <c r="D66" s="8">
        <v>195</v>
      </c>
      <c r="E66" s="64">
        <v>209</v>
      </c>
      <c r="F66" s="64" t="s">
        <v>121</v>
      </c>
      <c r="G66" s="8" t="s">
        <v>87</v>
      </c>
      <c r="H66" s="8">
        <v>800</v>
      </c>
      <c r="I66" s="8" t="s">
        <v>119</v>
      </c>
      <c r="J66" s="6" t="s">
        <v>85</v>
      </c>
      <c r="K66" s="8">
        <v>100</v>
      </c>
      <c r="L66" s="8">
        <v>2</v>
      </c>
      <c r="M66" s="8"/>
      <c r="N66" s="64"/>
      <c r="O66" s="8">
        <v>5</v>
      </c>
      <c r="P66" s="8">
        <v>1</v>
      </c>
      <c r="Q66" s="5"/>
      <c r="R66" s="5"/>
    </row>
    <row r="67" spans="1:18" customFormat="1" x14ac:dyDescent="0.25">
      <c r="A67" s="9">
        <v>39</v>
      </c>
      <c r="B67" s="9" t="s">
        <v>110</v>
      </c>
      <c r="C67" s="9">
        <v>195</v>
      </c>
      <c r="D67" s="9">
        <v>195</v>
      </c>
      <c r="E67" s="65">
        <v>241</v>
      </c>
      <c r="F67" s="65">
        <v>241</v>
      </c>
      <c r="G67" s="9" t="s">
        <v>122</v>
      </c>
      <c r="H67" s="9">
        <v>1000</v>
      </c>
      <c r="I67" s="9" t="s">
        <v>112</v>
      </c>
      <c r="J67" s="7" t="s">
        <v>89</v>
      </c>
      <c r="K67" s="9">
        <v>5</v>
      </c>
      <c r="L67" s="9">
        <v>2</v>
      </c>
      <c r="M67" s="9"/>
      <c r="N67" s="65"/>
      <c r="O67" s="9">
        <v>6</v>
      </c>
      <c r="P67" s="9">
        <v>1</v>
      </c>
      <c r="Q67" s="5"/>
      <c r="R67" s="5"/>
    </row>
    <row r="68" spans="1:18" s="3" customFormat="1" x14ac:dyDescent="0.25">
      <c r="A68" s="59"/>
      <c r="B68" s="59"/>
      <c r="C68" s="59"/>
      <c r="D68" s="59"/>
      <c r="E68" s="62"/>
      <c r="F68" s="62"/>
      <c r="G68" s="59"/>
      <c r="H68" s="59"/>
      <c r="I68" s="59"/>
      <c r="J68" s="59"/>
      <c r="K68" s="59"/>
      <c r="L68" s="59"/>
      <c r="M68" s="59"/>
      <c r="N68" s="62"/>
      <c r="O68" s="59"/>
      <c r="P68" s="59"/>
    </row>
    <row r="69" spans="1:18" customFormat="1" x14ac:dyDescent="0.25">
      <c r="A69" s="10">
        <v>136</v>
      </c>
      <c r="B69" s="10" t="s">
        <v>110</v>
      </c>
      <c r="C69" s="10">
        <v>194</v>
      </c>
      <c r="D69" s="10">
        <v>195</v>
      </c>
      <c r="E69" s="63">
        <v>271</v>
      </c>
      <c r="F69" s="63">
        <v>271</v>
      </c>
      <c r="G69" s="10" t="s">
        <v>122</v>
      </c>
      <c r="H69" s="10">
        <v>1000</v>
      </c>
      <c r="I69" s="10" t="s">
        <v>124</v>
      </c>
      <c r="J69" s="11" t="s">
        <v>92</v>
      </c>
      <c r="K69" s="10">
        <v>150</v>
      </c>
      <c r="L69" s="10">
        <v>2</v>
      </c>
      <c r="M69" s="10"/>
      <c r="N69" s="63"/>
      <c r="O69" s="10">
        <v>4</v>
      </c>
      <c r="P69" s="10">
        <v>1</v>
      </c>
      <c r="Q69" s="5"/>
      <c r="R69" s="5"/>
    </row>
    <row r="70" spans="1:18" customFormat="1" x14ac:dyDescent="0.25">
      <c r="A70" s="8">
        <v>139</v>
      </c>
      <c r="B70" s="8" t="s">
        <v>110</v>
      </c>
      <c r="C70" s="8">
        <v>195</v>
      </c>
      <c r="D70" s="8">
        <v>195</v>
      </c>
      <c r="E70" s="64" t="s">
        <v>123</v>
      </c>
      <c r="F70" s="64" t="s">
        <v>123</v>
      </c>
      <c r="G70" s="8" t="s">
        <v>122</v>
      </c>
      <c r="H70" s="8">
        <v>1500</v>
      </c>
      <c r="I70" s="8" t="s">
        <v>124</v>
      </c>
      <c r="J70" s="6" t="s">
        <v>92</v>
      </c>
      <c r="K70" s="8">
        <v>2</v>
      </c>
      <c r="L70" s="8">
        <v>2</v>
      </c>
      <c r="M70" s="8"/>
      <c r="N70" s="64"/>
      <c r="O70" s="8">
        <v>8</v>
      </c>
      <c r="P70" s="8">
        <v>8</v>
      </c>
      <c r="Q70" s="5"/>
      <c r="R70" s="5"/>
    </row>
    <row r="71" spans="1:18" customFormat="1" x14ac:dyDescent="0.25">
      <c r="A71" s="8">
        <v>141</v>
      </c>
      <c r="B71" s="8" t="s">
        <v>110</v>
      </c>
      <c r="C71" s="8">
        <v>194</v>
      </c>
      <c r="D71" s="8">
        <v>195</v>
      </c>
      <c r="E71" s="64">
        <v>234</v>
      </c>
      <c r="F71" s="64">
        <v>234</v>
      </c>
      <c r="G71" s="8" t="s">
        <v>122</v>
      </c>
      <c r="H71" s="8">
        <v>1000</v>
      </c>
      <c r="I71" s="8" t="s">
        <v>113</v>
      </c>
      <c r="J71" s="6" t="s">
        <v>89</v>
      </c>
      <c r="K71" s="8">
        <v>2500</v>
      </c>
      <c r="L71" s="8">
        <v>2</v>
      </c>
      <c r="M71" s="8"/>
      <c r="N71" s="64"/>
      <c r="O71" s="8">
        <v>4</v>
      </c>
      <c r="P71" s="8">
        <v>2</v>
      </c>
      <c r="Q71" s="5"/>
      <c r="R71" s="5"/>
    </row>
    <row r="72" spans="1:18" customFormat="1" x14ac:dyDescent="0.25">
      <c r="A72" s="8">
        <v>140</v>
      </c>
      <c r="B72" s="8" t="s">
        <v>110</v>
      </c>
      <c r="C72" s="8">
        <v>195</v>
      </c>
      <c r="D72" s="8">
        <v>195</v>
      </c>
      <c r="E72" s="64">
        <v>289</v>
      </c>
      <c r="F72" s="64">
        <v>289</v>
      </c>
      <c r="G72" s="8" t="s">
        <v>122</v>
      </c>
      <c r="H72" s="8">
        <v>500</v>
      </c>
      <c r="I72" s="8" t="s">
        <v>113</v>
      </c>
      <c r="J72" s="6" t="s">
        <v>89</v>
      </c>
      <c r="K72" s="8"/>
      <c r="L72" s="8">
        <v>2</v>
      </c>
      <c r="M72" s="8"/>
      <c r="N72" s="64"/>
      <c r="O72" s="8">
        <v>4</v>
      </c>
      <c r="P72" s="8">
        <v>1</v>
      </c>
      <c r="Q72" s="5"/>
      <c r="R72" s="5"/>
    </row>
    <row r="73" spans="1:18" customFormat="1" x14ac:dyDescent="0.25">
      <c r="A73" s="8">
        <v>37</v>
      </c>
      <c r="B73" s="8" t="s">
        <v>110</v>
      </c>
      <c r="C73" s="8">
        <v>194</v>
      </c>
      <c r="D73" s="8">
        <v>195</v>
      </c>
      <c r="E73" s="64">
        <v>284</v>
      </c>
      <c r="F73" s="64">
        <v>284</v>
      </c>
      <c r="G73" s="8" t="s">
        <v>122</v>
      </c>
      <c r="H73" s="8">
        <v>750</v>
      </c>
      <c r="I73" s="8" t="s">
        <v>113</v>
      </c>
      <c r="J73" s="6" t="s">
        <v>89</v>
      </c>
      <c r="K73" s="8">
        <v>500</v>
      </c>
      <c r="L73" s="8">
        <v>1</v>
      </c>
      <c r="M73" s="8">
        <v>1</v>
      </c>
      <c r="N73" s="64">
        <v>1</v>
      </c>
      <c r="O73" s="8">
        <v>4</v>
      </c>
      <c r="P73" s="8">
        <v>2</v>
      </c>
      <c r="Q73" s="5"/>
      <c r="R73" s="5"/>
    </row>
    <row r="74" spans="1:18" customFormat="1" x14ac:dyDescent="0.25">
      <c r="A74" s="8">
        <v>42</v>
      </c>
      <c r="B74" s="8" t="s">
        <v>110</v>
      </c>
      <c r="C74" s="8">
        <v>195</v>
      </c>
      <c r="D74" s="8">
        <v>195</v>
      </c>
      <c r="E74" s="64">
        <v>275</v>
      </c>
      <c r="F74" s="64">
        <v>275</v>
      </c>
      <c r="G74" s="8" t="s">
        <v>122</v>
      </c>
      <c r="H74" s="8">
        <v>1500</v>
      </c>
      <c r="I74" s="8" t="s">
        <v>124</v>
      </c>
      <c r="J74" s="6" t="s">
        <v>92</v>
      </c>
      <c r="K74" s="8">
        <v>5</v>
      </c>
      <c r="L74" s="8">
        <v>1</v>
      </c>
      <c r="M74" s="8">
        <v>1</v>
      </c>
      <c r="N74" s="64">
        <v>1</v>
      </c>
      <c r="O74" s="8">
        <v>3</v>
      </c>
      <c r="P74" s="8">
        <v>2</v>
      </c>
      <c r="Q74" s="5"/>
      <c r="R74" s="5"/>
    </row>
    <row r="75" spans="1:18" customFormat="1" x14ac:dyDescent="0.25">
      <c r="A75" s="8">
        <v>40</v>
      </c>
      <c r="B75" s="8" t="s">
        <v>110</v>
      </c>
      <c r="C75" s="8">
        <v>195</v>
      </c>
      <c r="D75" s="8">
        <v>195</v>
      </c>
      <c r="E75" s="64">
        <v>287</v>
      </c>
      <c r="F75" s="64">
        <v>287</v>
      </c>
      <c r="G75" s="8" t="s">
        <v>122</v>
      </c>
      <c r="H75" s="8">
        <v>1000</v>
      </c>
      <c r="I75" s="8" t="s">
        <v>113</v>
      </c>
      <c r="J75" s="6" t="s">
        <v>89</v>
      </c>
      <c r="K75" s="8">
        <v>10</v>
      </c>
      <c r="L75" s="8">
        <v>2</v>
      </c>
      <c r="M75" s="8"/>
      <c r="N75" s="64"/>
      <c r="O75" s="8">
        <v>6</v>
      </c>
      <c r="P75" s="8">
        <v>1</v>
      </c>
      <c r="Q75" s="5"/>
      <c r="R75" s="5"/>
    </row>
    <row r="76" spans="1:18" customFormat="1" x14ac:dyDescent="0.25">
      <c r="A76" s="8">
        <v>41</v>
      </c>
      <c r="B76" s="8" t="s">
        <v>110</v>
      </c>
      <c r="C76" s="8">
        <v>195</v>
      </c>
      <c r="D76" s="8">
        <v>195</v>
      </c>
      <c r="E76" s="64">
        <v>266</v>
      </c>
      <c r="F76" s="64">
        <v>266</v>
      </c>
      <c r="G76" s="8" t="s">
        <v>122</v>
      </c>
      <c r="H76" s="8">
        <v>1000</v>
      </c>
      <c r="I76" s="8" t="s">
        <v>124</v>
      </c>
      <c r="J76" s="6" t="s">
        <v>92</v>
      </c>
      <c r="K76" s="8">
        <v>5</v>
      </c>
      <c r="L76" s="8">
        <v>2</v>
      </c>
      <c r="M76" s="8"/>
      <c r="N76" s="64"/>
      <c r="O76" s="8">
        <v>3</v>
      </c>
      <c r="P76" s="8">
        <v>1</v>
      </c>
      <c r="Q76" s="5"/>
      <c r="R76" s="5"/>
    </row>
    <row r="77" spans="1:18" customFormat="1" x14ac:dyDescent="0.25">
      <c r="A77" s="8">
        <v>29</v>
      </c>
      <c r="B77" s="8" t="s">
        <v>110</v>
      </c>
      <c r="C77" s="8">
        <v>195</v>
      </c>
      <c r="D77" s="8">
        <v>195</v>
      </c>
      <c r="E77" s="64">
        <v>278</v>
      </c>
      <c r="F77" s="64">
        <v>278</v>
      </c>
      <c r="G77" s="8" t="s">
        <v>122</v>
      </c>
      <c r="H77" s="8">
        <v>1250</v>
      </c>
      <c r="I77" s="8" t="s">
        <v>124</v>
      </c>
      <c r="J77" s="6" t="s">
        <v>92</v>
      </c>
      <c r="K77" s="8">
        <v>1000</v>
      </c>
      <c r="L77" s="8">
        <v>2</v>
      </c>
      <c r="M77" s="8"/>
      <c r="N77" s="64"/>
      <c r="O77" s="8">
        <v>4</v>
      </c>
      <c r="P77" s="8">
        <v>4</v>
      </c>
      <c r="Q77" s="5"/>
      <c r="R77" s="5"/>
    </row>
    <row r="78" spans="1:18" customFormat="1" x14ac:dyDescent="0.25">
      <c r="A78" s="8">
        <v>28</v>
      </c>
      <c r="B78" s="8" t="s">
        <v>110</v>
      </c>
      <c r="C78" s="8">
        <v>194</v>
      </c>
      <c r="D78" s="8">
        <v>195</v>
      </c>
      <c r="E78" s="64" t="s">
        <v>125</v>
      </c>
      <c r="F78" s="64" t="s">
        <v>125</v>
      </c>
      <c r="G78" s="8" t="s">
        <v>122</v>
      </c>
      <c r="H78" s="8">
        <v>1500</v>
      </c>
      <c r="I78" s="8" t="s">
        <v>124</v>
      </c>
      <c r="J78" s="6" t="s">
        <v>92</v>
      </c>
      <c r="K78" s="8">
        <v>10</v>
      </c>
      <c r="L78" s="8">
        <v>1</v>
      </c>
      <c r="M78" s="8"/>
      <c r="N78" s="64"/>
      <c r="O78" s="8">
        <v>4</v>
      </c>
      <c r="P78" s="8">
        <v>2</v>
      </c>
      <c r="Q78" s="5"/>
      <c r="R78" s="5"/>
    </row>
    <row r="79" spans="1:18" customFormat="1" x14ac:dyDescent="0.25">
      <c r="A79" s="8">
        <v>129</v>
      </c>
      <c r="B79" s="8" t="s">
        <v>110</v>
      </c>
      <c r="C79" s="8">
        <v>195</v>
      </c>
      <c r="D79" s="8">
        <v>195</v>
      </c>
      <c r="E79" s="64" t="s">
        <v>116</v>
      </c>
      <c r="F79" s="64">
        <v>288</v>
      </c>
      <c r="G79" s="8" t="s">
        <v>122</v>
      </c>
      <c r="H79" s="8">
        <v>1000</v>
      </c>
      <c r="I79" s="8" t="s">
        <v>113</v>
      </c>
      <c r="J79" s="6" t="s">
        <v>89</v>
      </c>
      <c r="K79" s="8">
        <v>400</v>
      </c>
      <c r="L79" s="8">
        <v>2</v>
      </c>
      <c r="M79" s="8"/>
      <c r="N79" s="64"/>
      <c r="O79" s="8">
        <v>5</v>
      </c>
      <c r="P79" s="8">
        <v>2</v>
      </c>
      <c r="Q79" s="5"/>
      <c r="R79" s="5"/>
    </row>
    <row r="80" spans="1:18" customFormat="1" x14ac:dyDescent="0.25">
      <c r="A80" s="8">
        <v>135</v>
      </c>
      <c r="B80" s="8" t="s">
        <v>110</v>
      </c>
      <c r="C80" s="8">
        <v>194</v>
      </c>
      <c r="D80" s="8">
        <v>194</v>
      </c>
      <c r="E80" s="64">
        <v>283</v>
      </c>
      <c r="F80" s="64">
        <v>283</v>
      </c>
      <c r="G80" s="8" t="s">
        <v>122</v>
      </c>
      <c r="H80" s="8">
        <v>1000</v>
      </c>
      <c r="I80" s="8" t="s">
        <v>113</v>
      </c>
      <c r="J80" s="6" t="s">
        <v>89</v>
      </c>
      <c r="K80" s="8">
        <v>500</v>
      </c>
      <c r="L80" s="8">
        <v>1</v>
      </c>
      <c r="M80" s="8">
        <v>1</v>
      </c>
      <c r="N80" s="64">
        <v>5</v>
      </c>
      <c r="O80" s="8">
        <v>5</v>
      </c>
      <c r="P80" s="8">
        <v>2</v>
      </c>
      <c r="Q80" s="5"/>
      <c r="R80" s="5"/>
    </row>
    <row r="81" spans="1:18" customFormat="1" x14ac:dyDescent="0.25">
      <c r="A81" s="8">
        <v>138</v>
      </c>
      <c r="B81" s="8" t="s">
        <v>110</v>
      </c>
      <c r="C81" s="8">
        <v>195</v>
      </c>
      <c r="D81" s="8">
        <v>195</v>
      </c>
      <c r="E81" s="64">
        <v>257</v>
      </c>
      <c r="F81" s="64">
        <v>257</v>
      </c>
      <c r="G81" s="8" t="s">
        <v>122</v>
      </c>
      <c r="H81" s="8">
        <v>500</v>
      </c>
      <c r="I81" s="8" t="s">
        <v>124</v>
      </c>
      <c r="J81" s="6" t="s">
        <v>92</v>
      </c>
      <c r="K81" s="8">
        <v>2</v>
      </c>
      <c r="L81" s="8">
        <v>2</v>
      </c>
      <c r="M81" s="8"/>
      <c r="N81" s="64"/>
      <c r="O81" s="8">
        <v>3</v>
      </c>
      <c r="P81" s="8">
        <v>1</v>
      </c>
      <c r="Q81" s="5"/>
      <c r="R81" s="5"/>
    </row>
    <row r="82" spans="1:18" customFormat="1" x14ac:dyDescent="0.25">
      <c r="A82" s="9">
        <v>137</v>
      </c>
      <c r="B82" s="9" t="s">
        <v>110</v>
      </c>
      <c r="C82" s="9">
        <v>195</v>
      </c>
      <c r="D82" s="9">
        <v>195</v>
      </c>
      <c r="E82" s="65">
        <v>274</v>
      </c>
      <c r="F82" s="65">
        <v>274</v>
      </c>
      <c r="G82" s="9" t="s">
        <v>122</v>
      </c>
      <c r="H82" s="9">
        <v>2000</v>
      </c>
      <c r="I82" s="9" t="s">
        <v>124</v>
      </c>
      <c r="J82" s="7" t="s">
        <v>92</v>
      </c>
      <c r="K82" s="9">
        <v>10</v>
      </c>
      <c r="L82" s="9">
        <v>2</v>
      </c>
      <c r="M82" s="9"/>
      <c r="N82" s="65"/>
      <c r="O82" s="9">
        <v>2</v>
      </c>
      <c r="P82" s="9">
        <v>2</v>
      </c>
      <c r="Q82" s="5"/>
      <c r="R82" s="5"/>
    </row>
    <row r="83" spans="1:18" s="3" customFormat="1" x14ac:dyDescent="0.25">
      <c r="A83" s="59"/>
      <c r="B83" s="59"/>
      <c r="C83" s="59"/>
      <c r="D83" s="59"/>
      <c r="E83" s="62"/>
      <c r="F83" s="62"/>
      <c r="G83" s="59"/>
      <c r="H83" s="59"/>
      <c r="I83" s="59"/>
      <c r="J83" s="59"/>
      <c r="K83" s="59"/>
      <c r="L83" s="59"/>
      <c r="M83" s="59"/>
      <c r="N83" s="62"/>
      <c r="O83" s="59"/>
      <c r="P83" s="59"/>
    </row>
    <row r="84" spans="1:18" s="3" customFormat="1" x14ac:dyDescent="0.25">
      <c r="A84" s="11">
        <v>252</v>
      </c>
      <c r="B84" s="11" t="s">
        <v>259</v>
      </c>
      <c r="C84" s="11">
        <v>177</v>
      </c>
      <c r="D84" s="15">
        <v>177</v>
      </c>
      <c r="E84" s="66">
        <v>351</v>
      </c>
      <c r="F84" s="66">
        <v>351</v>
      </c>
      <c r="G84" s="11" t="s">
        <v>126</v>
      </c>
      <c r="H84" s="11">
        <v>500</v>
      </c>
      <c r="I84" s="11" t="s">
        <v>127</v>
      </c>
      <c r="J84" s="11" t="s">
        <v>92</v>
      </c>
      <c r="K84" s="11">
        <v>2</v>
      </c>
      <c r="L84" s="11">
        <v>1</v>
      </c>
      <c r="M84" s="11">
        <v>1</v>
      </c>
      <c r="N84" s="66" t="s">
        <v>128</v>
      </c>
      <c r="O84" s="11">
        <v>4</v>
      </c>
      <c r="P84" s="11">
        <v>3</v>
      </c>
    </row>
    <row r="85" spans="1:18" s="3" customFormat="1" x14ac:dyDescent="0.25">
      <c r="A85" s="6">
        <v>253</v>
      </c>
      <c r="B85" s="6" t="s">
        <v>259</v>
      </c>
      <c r="C85" s="6">
        <v>177</v>
      </c>
      <c r="D85" s="12">
        <v>177</v>
      </c>
      <c r="E85" s="60"/>
      <c r="F85" s="60"/>
      <c r="G85" s="6" t="s">
        <v>126</v>
      </c>
      <c r="H85" s="6">
        <v>1000</v>
      </c>
      <c r="I85" s="6" t="s">
        <v>129</v>
      </c>
      <c r="J85" s="6" t="s">
        <v>85</v>
      </c>
      <c r="K85" s="6">
        <v>500</v>
      </c>
      <c r="L85" s="6">
        <v>2</v>
      </c>
      <c r="M85" s="6"/>
      <c r="N85" s="60"/>
      <c r="O85" s="6">
        <v>5</v>
      </c>
      <c r="P85" s="6">
        <v>2</v>
      </c>
    </row>
    <row r="86" spans="1:18" s="3" customFormat="1" x14ac:dyDescent="0.25">
      <c r="A86" s="6">
        <v>254</v>
      </c>
      <c r="B86" s="6" t="s">
        <v>259</v>
      </c>
      <c r="C86" s="6">
        <v>177</v>
      </c>
      <c r="D86" s="12">
        <v>177</v>
      </c>
      <c r="E86" s="60">
        <v>430</v>
      </c>
      <c r="F86" s="60">
        <v>430</v>
      </c>
      <c r="G86" s="6" t="s">
        <v>126</v>
      </c>
      <c r="H86" s="6">
        <v>4000</v>
      </c>
      <c r="I86" s="6" t="s">
        <v>130</v>
      </c>
      <c r="J86" s="6" t="s">
        <v>89</v>
      </c>
      <c r="K86" s="6">
        <v>500</v>
      </c>
      <c r="L86" s="6">
        <v>2</v>
      </c>
      <c r="M86" s="6"/>
      <c r="N86" s="60"/>
      <c r="O86" s="6">
        <v>5</v>
      </c>
      <c r="P86" s="6">
        <v>3</v>
      </c>
    </row>
    <row r="87" spans="1:18" s="3" customFormat="1" x14ac:dyDescent="0.25">
      <c r="A87" s="6">
        <v>255</v>
      </c>
      <c r="B87" s="6" t="s">
        <v>259</v>
      </c>
      <c r="C87" s="6">
        <v>177</v>
      </c>
      <c r="D87" s="12">
        <v>177</v>
      </c>
      <c r="E87" s="60"/>
      <c r="F87" s="60"/>
      <c r="G87" s="6" t="s">
        <v>126</v>
      </c>
      <c r="H87" s="6">
        <v>2000</v>
      </c>
      <c r="I87" s="6" t="s">
        <v>129</v>
      </c>
      <c r="J87" s="6" t="s">
        <v>85</v>
      </c>
      <c r="K87" s="6">
        <v>200</v>
      </c>
      <c r="L87" s="6">
        <v>2</v>
      </c>
      <c r="M87" s="6"/>
      <c r="N87" s="60"/>
      <c r="O87" s="6">
        <v>5</v>
      </c>
      <c r="P87" s="6">
        <v>2</v>
      </c>
    </row>
    <row r="88" spans="1:18" s="3" customFormat="1" x14ac:dyDescent="0.25">
      <c r="A88" s="6">
        <v>256</v>
      </c>
      <c r="B88" s="6" t="s">
        <v>259</v>
      </c>
      <c r="C88" s="6">
        <v>177</v>
      </c>
      <c r="D88" s="12">
        <v>177</v>
      </c>
      <c r="E88" s="60">
        <v>321</v>
      </c>
      <c r="F88" s="60">
        <v>321</v>
      </c>
      <c r="G88" s="6" t="s">
        <v>126</v>
      </c>
      <c r="H88" s="6">
        <v>1000</v>
      </c>
      <c r="I88" s="6" t="s">
        <v>129</v>
      </c>
      <c r="J88" s="6" t="s">
        <v>85</v>
      </c>
      <c r="K88" s="6">
        <v>600</v>
      </c>
      <c r="L88" s="6">
        <v>1</v>
      </c>
      <c r="M88" s="6">
        <v>1</v>
      </c>
      <c r="N88" s="60">
        <v>1</v>
      </c>
      <c r="O88" s="6">
        <v>7</v>
      </c>
      <c r="P88" s="6">
        <v>7</v>
      </c>
    </row>
    <row r="89" spans="1:18" s="3" customFormat="1" x14ac:dyDescent="0.25">
      <c r="A89" s="6">
        <v>101</v>
      </c>
      <c r="B89" s="6" t="s">
        <v>259</v>
      </c>
      <c r="C89" s="6">
        <v>177</v>
      </c>
      <c r="D89" s="12">
        <v>177</v>
      </c>
      <c r="E89" s="60" t="s">
        <v>131</v>
      </c>
      <c r="F89" s="60" t="s">
        <v>131</v>
      </c>
      <c r="G89" s="6" t="s">
        <v>126</v>
      </c>
      <c r="H89" s="6">
        <v>4000</v>
      </c>
      <c r="I89" s="6" t="s">
        <v>135</v>
      </c>
      <c r="J89" s="6" t="s">
        <v>89</v>
      </c>
      <c r="K89" s="6">
        <v>100</v>
      </c>
      <c r="L89" s="6">
        <v>2</v>
      </c>
      <c r="M89" s="6"/>
      <c r="N89" s="60"/>
      <c r="O89" s="6">
        <v>5</v>
      </c>
      <c r="P89" s="6">
        <v>3</v>
      </c>
    </row>
    <row r="90" spans="1:18" s="3" customFormat="1" x14ac:dyDescent="0.25">
      <c r="A90" s="6">
        <v>106</v>
      </c>
      <c r="B90" s="6" t="s">
        <v>259</v>
      </c>
      <c r="C90" s="6">
        <v>177</v>
      </c>
      <c r="D90" s="12">
        <v>177</v>
      </c>
      <c r="E90" s="60">
        <v>429</v>
      </c>
      <c r="F90" s="60">
        <v>429</v>
      </c>
      <c r="G90" s="6" t="s">
        <v>126</v>
      </c>
      <c r="H90" s="6">
        <v>100</v>
      </c>
      <c r="I90" s="6" t="s">
        <v>130</v>
      </c>
      <c r="J90" s="6" t="s">
        <v>89</v>
      </c>
      <c r="K90" s="6">
        <v>2</v>
      </c>
      <c r="L90" s="6">
        <v>1</v>
      </c>
      <c r="M90" s="6">
        <v>1</v>
      </c>
      <c r="N90" s="60">
        <v>3</v>
      </c>
      <c r="O90" s="6">
        <v>5</v>
      </c>
      <c r="P90" s="6">
        <v>2</v>
      </c>
    </row>
    <row r="91" spans="1:18" s="3" customFormat="1" x14ac:dyDescent="0.25">
      <c r="A91" s="6">
        <v>107</v>
      </c>
      <c r="B91" s="6" t="s">
        <v>259</v>
      </c>
      <c r="C91" s="6">
        <v>177</v>
      </c>
      <c r="D91" s="12">
        <v>177</v>
      </c>
      <c r="E91" s="60" t="s">
        <v>132</v>
      </c>
      <c r="F91" s="60" t="s">
        <v>132</v>
      </c>
      <c r="G91" s="6" t="s">
        <v>126</v>
      </c>
      <c r="H91" s="6">
        <v>4000</v>
      </c>
      <c r="I91" s="6" t="s">
        <v>127</v>
      </c>
      <c r="J91" s="6" t="s">
        <v>92</v>
      </c>
      <c r="K91" s="6">
        <v>12</v>
      </c>
      <c r="L91" s="6">
        <v>1</v>
      </c>
      <c r="M91" s="6">
        <v>1</v>
      </c>
      <c r="N91" s="60">
        <v>2</v>
      </c>
      <c r="O91" s="6">
        <v>5</v>
      </c>
      <c r="P91" s="6">
        <v>1</v>
      </c>
    </row>
    <row r="92" spans="1:18" s="3" customFormat="1" x14ac:dyDescent="0.25">
      <c r="A92" s="6">
        <v>108</v>
      </c>
      <c r="B92" s="6" t="s">
        <v>259</v>
      </c>
      <c r="C92" s="6">
        <v>177</v>
      </c>
      <c r="D92" s="12">
        <v>177</v>
      </c>
      <c r="E92" s="60">
        <v>333</v>
      </c>
      <c r="F92" s="60">
        <v>333</v>
      </c>
      <c r="G92" s="6" t="s">
        <v>126</v>
      </c>
      <c r="H92" s="6">
        <v>900</v>
      </c>
      <c r="I92" s="6" t="s">
        <v>129</v>
      </c>
      <c r="J92" s="6" t="s">
        <v>85</v>
      </c>
      <c r="K92" s="6">
        <v>1</v>
      </c>
      <c r="L92" s="6">
        <v>2</v>
      </c>
      <c r="M92" s="6"/>
      <c r="N92" s="60"/>
      <c r="O92" s="6">
        <v>5</v>
      </c>
      <c r="P92" s="6">
        <v>1</v>
      </c>
    </row>
    <row r="93" spans="1:18" s="3" customFormat="1" x14ac:dyDescent="0.25">
      <c r="A93" s="6">
        <v>109</v>
      </c>
      <c r="B93" s="6" t="s">
        <v>259</v>
      </c>
      <c r="C93" s="6">
        <v>177</v>
      </c>
      <c r="D93" s="12">
        <v>177</v>
      </c>
      <c r="E93" s="60">
        <v>371</v>
      </c>
      <c r="F93" s="60">
        <v>371</v>
      </c>
      <c r="G93" s="6" t="s">
        <v>126</v>
      </c>
      <c r="H93" s="6">
        <v>1250</v>
      </c>
      <c r="I93" s="6" t="s">
        <v>135</v>
      </c>
      <c r="J93" s="6" t="s">
        <v>89</v>
      </c>
      <c r="K93" s="6">
        <v>1</v>
      </c>
      <c r="L93" s="6">
        <v>1</v>
      </c>
      <c r="M93" s="6">
        <v>1</v>
      </c>
      <c r="N93" s="60">
        <v>4</v>
      </c>
      <c r="O93" s="6">
        <v>2</v>
      </c>
      <c r="P93" s="6">
        <v>2</v>
      </c>
    </row>
    <row r="94" spans="1:18" s="3" customFormat="1" x14ac:dyDescent="0.25">
      <c r="A94" s="6">
        <v>1</v>
      </c>
      <c r="B94" s="6" t="s">
        <v>259</v>
      </c>
      <c r="C94" s="6">
        <v>177</v>
      </c>
      <c r="D94" s="12">
        <v>177</v>
      </c>
      <c r="E94" s="60">
        <v>399</v>
      </c>
      <c r="F94" s="60">
        <v>399</v>
      </c>
      <c r="G94" s="6" t="s">
        <v>126</v>
      </c>
      <c r="H94" s="6">
        <v>500</v>
      </c>
      <c r="I94" s="6" t="s">
        <v>133</v>
      </c>
      <c r="J94" s="6" t="s">
        <v>89</v>
      </c>
      <c r="K94" s="6">
        <v>25</v>
      </c>
      <c r="L94" s="6">
        <v>1</v>
      </c>
      <c r="M94" s="6">
        <v>2</v>
      </c>
      <c r="N94" s="60" t="s">
        <v>134</v>
      </c>
      <c r="O94" s="6">
        <v>3</v>
      </c>
      <c r="P94" s="6">
        <v>2</v>
      </c>
    </row>
    <row r="95" spans="1:18" s="3" customFormat="1" x14ac:dyDescent="0.25">
      <c r="A95" s="6">
        <v>2</v>
      </c>
      <c r="B95" s="6" t="s">
        <v>259</v>
      </c>
      <c r="C95" s="6">
        <v>177</v>
      </c>
      <c r="D95" s="12">
        <v>177</v>
      </c>
      <c r="E95" s="60">
        <v>354</v>
      </c>
      <c r="F95" s="60">
        <v>354</v>
      </c>
      <c r="G95" s="6" t="s">
        <v>126</v>
      </c>
      <c r="H95" s="6">
        <v>1500</v>
      </c>
      <c r="I95" s="6" t="s">
        <v>135</v>
      </c>
      <c r="J95" s="6" t="s">
        <v>89</v>
      </c>
      <c r="K95" s="6">
        <v>5</v>
      </c>
      <c r="L95" s="6">
        <v>2</v>
      </c>
      <c r="M95" s="6"/>
      <c r="N95" s="60"/>
      <c r="O95" s="6">
        <v>5</v>
      </c>
      <c r="P95" s="6">
        <v>1</v>
      </c>
    </row>
    <row r="96" spans="1:18" s="3" customFormat="1" x14ac:dyDescent="0.25">
      <c r="A96" s="6">
        <v>3</v>
      </c>
      <c r="B96" s="6" t="s">
        <v>259</v>
      </c>
      <c r="C96" s="6">
        <v>175</v>
      </c>
      <c r="D96" s="12">
        <v>177</v>
      </c>
      <c r="E96" s="60"/>
      <c r="F96" s="60"/>
      <c r="G96" s="6" t="s">
        <v>126</v>
      </c>
      <c r="H96" s="6">
        <v>400</v>
      </c>
      <c r="I96" s="6" t="s">
        <v>136</v>
      </c>
      <c r="J96" s="6" t="s">
        <v>85</v>
      </c>
      <c r="K96" s="6">
        <v>1</v>
      </c>
      <c r="L96" s="6">
        <v>1</v>
      </c>
      <c r="M96" s="6">
        <v>1</v>
      </c>
      <c r="N96" s="60">
        <v>4</v>
      </c>
      <c r="O96" s="6">
        <v>5</v>
      </c>
      <c r="P96" s="6">
        <v>2</v>
      </c>
    </row>
    <row r="97" spans="1:16" s="3" customFormat="1" x14ac:dyDescent="0.25">
      <c r="A97" s="6">
        <v>4</v>
      </c>
      <c r="B97" s="6" t="s">
        <v>259</v>
      </c>
      <c r="C97" s="6">
        <v>177</v>
      </c>
      <c r="D97" s="12">
        <v>177</v>
      </c>
      <c r="E97" s="60"/>
      <c r="F97" s="60"/>
      <c r="G97" s="6" t="s">
        <v>126</v>
      </c>
      <c r="H97" s="6">
        <v>1000</v>
      </c>
      <c r="I97" s="6" t="s">
        <v>130</v>
      </c>
      <c r="J97" s="6" t="s">
        <v>89</v>
      </c>
      <c r="K97" s="6">
        <v>250</v>
      </c>
      <c r="L97" s="6">
        <v>1</v>
      </c>
      <c r="M97" s="6">
        <v>2</v>
      </c>
      <c r="N97" s="60" t="s">
        <v>137</v>
      </c>
      <c r="O97" s="6">
        <v>3</v>
      </c>
      <c r="P97" s="6">
        <v>1</v>
      </c>
    </row>
    <row r="98" spans="1:16" s="3" customFormat="1" x14ac:dyDescent="0.25">
      <c r="A98" s="6">
        <v>5</v>
      </c>
      <c r="B98" s="6" t="s">
        <v>259</v>
      </c>
      <c r="C98" s="6">
        <v>177</v>
      </c>
      <c r="D98" s="12">
        <v>177</v>
      </c>
      <c r="E98" s="60"/>
      <c r="F98" s="60"/>
      <c r="G98" s="6" t="s">
        <v>126</v>
      </c>
      <c r="H98" s="6">
        <v>10</v>
      </c>
      <c r="I98" s="6" t="s">
        <v>127</v>
      </c>
      <c r="J98" s="6" t="s">
        <v>92</v>
      </c>
      <c r="K98" s="6">
        <v>5</v>
      </c>
      <c r="L98" s="6">
        <v>2</v>
      </c>
      <c r="M98" s="6"/>
      <c r="N98" s="60"/>
      <c r="O98" s="6">
        <v>6</v>
      </c>
      <c r="P98" s="6">
        <v>1</v>
      </c>
    </row>
    <row r="99" spans="1:16" s="3" customFormat="1" x14ac:dyDescent="0.25">
      <c r="A99" s="6">
        <v>8</v>
      </c>
      <c r="B99" s="6" t="s">
        <v>259</v>
      </c>
      <c r="C99" s="6">
        <v>176</v>
      </c>
      <c r="D99" s="12">
        <v>176</v>
      </c>
      <c r="E99" s="60">
        <v>515</v>
      </c>
      <c r="F99" s="60">
        <v>515</v>
      </c>
      <c r="G99" s="6" t="s">
        <v>126</v>
      </c>
      <c r="H99" s="6">
        <v>3</v>
      </c>
      <c r="I99" s="6" t="s">
        <v>135</v>
      </c>
      <c r="J99" s="6" t="s">
        <v>89</v>
      </c>
      <c r="K99" s="6">
        <v>3</v>
      </c>
      <c r="L99" s="6">
        <v>1</v>
      </c>
      <c r="M99" s="6">
        <v>1</v>
      </c>
      <c r="N99" s="60">
        <v>1</v>
      </c>
      <c r="O99" s="6">
        <v>5</v>
      </c>
      <c r="P99" s="6">
        <v>1</v>
      </c>
    </row>
    <row r="100" spans="1:16" s="3" customFormat="1" x14ac:dyDescent="0.25">
      <c r="A100" s="6">
        <v>9</v>
      </c>
      <c r="B100" s="6" t="s">
        <v>259</v>
      </c>
      <c r="C100" s="6">
        <v>177</v>
      </c>
      <c r="D100" s="12">
        <v>177</v>
      </c>
      <c r="E100" s="60" t="s">
        <v>139</v>
      </c>
      <c r="F100" s="60">
        <v>478</v>
      </c>
      <c r="G100" s="6" t="s">
        <v>126</v>
      </c>
      <c r="H100" s="6">
        <v>5</v>
      </c>
      <c r="I100" s="6" t="s">
        <v>133</v>
      </c>
      <c r="J100" s="6" t="s">
        <v>89</v>
      </c>
      <c r="K100" s="6">
        <v>5</v>
      </c>
      <c r="L100" s="6">
        <v>1</v>
      </c>
      <c r="M100" s="6">
        <v>2</v>
      </c>
      <c r="N100" s="60" t="s">
        <v>140</v>
      </c>
      <c r="O100" s="6">
        <v>4</v>
      </c>
      <c r="P100" s="6">
        <v>4</v>
      </c>
    </row>
    <row r="101" spans="1:16" s="3" customFormat="1" x14ac:dyDescent="0.25">
      <c r="A101" s="6">
        <v>201</v>
      </c>
      <c r="B101" s="6" t="s">
        <v>259</v>
      </c>
      <c r="C101" s="6">
        <v>177</v>
      </c>
      <c r="D101" s="12">
        <v>176</v>
      </c>
      <c r="E101" s="60" t="s">
        <v>141</v>
      </c>
      <c r="F101" s="60">
        <v>371</v>
      </c>
      <c r="G101" s="6" t="s">
        <v>126</v>
      </c>
      <c r="H101" s="6">
        <v>500</v>
      </c>
      <c r="I101" s="6" t="s">
        <v>133</v>
      </c>
      <c r="J101" s="6" t="s">
        <v>89</v>
      </c>
      <c r="K101" s="6">
        <v>1</v>
      </c>
      <c r="L101" s="6">
        <v>2</v>
      </c>
      <c r="M101" s="6"/>
      <c r="N101" s="60"/>
      <c r="O101" s="6">
        <v>5</v>
      </c>
      <c r="P101" s="6">
        <v>2</v>
      </c>
    </row>
    <row r="102" spans="1:16" s="3" customFormat="1" x14ac:dyDescent="0.25">
      <c r="A102" s="6">
        <v>204</v>
      </c>
      <c r="B102" s="6" t="s">
        <v>259</v>
      </c>
      <c r="C102" s="6">
        <v>175</v>
      </c>
      <c r="D102" s="12">
        <v>177</v>
      </c>
      <c r="E102" s="60">
        <v>341</v>
      </c>
      <c r="F102" s="60">
        <v>341</v>
      </c>
      <c r="G102" s="6" t="s">
        <v>126</v>
      </c>
      <c r="H102" s="6">
        <v>500</v>
      </c>
      <c r="I102" s="6" t="s">
        <v>142</v>
      </c>
      <c r="J102" s="6" t="s">
        <v>85</v>
      </c>
      <c r="K102" s="6">
        <v>300</v>
      </c>
      <c r="L102" s="6">
        <v>2</v>
      </c>
      <c r="M102" s="6"/>
      <c r="N102" s="60"/>
      <c r="O102" s="6">
        <v>5</v>
      </c>
      <c r="P102" s="6">
        <v>1</v>
      </c>
    </row>
    <row r="103" spans="1:16" s="3" customFormat="1" x14ac:dyDescent="0.25">
      <c r="A103" s="6">
        <v>205</v>
      </c>
      <c r="B103" s="6" t="s">
        <v>259</v>
      </c>
      <c r="C103" s="6">
        <v>175</v>
      </c>
      <c r="D103" s="12">
        <v>177</v>
      </c>
      <c r="E103" s="60">
        <v>330</v>
      </c>
      <c r="F103" s="60">
        <v>330</v>
      </c>
      <c r="G103" s="6" t="s">
        <v>126</v>
      </c>
      <c r="H103" s="6">
        <v>500</v>
      </c>
      <c r="I103" s="6" t="s">
        <v>129</v>
      </c>
      <c r="J103" s="6" t="s">
        <v>85</v>
      </c>
      <c r="K103" s="6">
        <v>500</v>
      </c>
      <c r="L103" s="6">
        <v>1</v>
      </c>
      <c r="M103" s="6">
        <v>1</v>
      </c>
      <c r="N103" s="60">
        <v>5</v>
      </c>
      <c r="O103" s="6">
        <v>4</v>
      </c>
      <c r="P103" s="6">
        <v>2</v>
      </c>
    </row>
    <row r="104" spans="1:16" s="3" customFormat="1" x14ac:dyDescent="0.25">
      <c r="A104" s="6">
        <v>320</v>
      </c>
      <c r="B104" s="6" t="s">
        <v>259</v>
      </c>
      <c r="C104" s="6">
        <v>177</v>
      </c>
      <c r="D104" s="12">
        <v>177</v>
      </c>
      <c r="E104" s="60">
        <v>447</v>
      </c>
      <c r="F104" s="60">
        <v>447</v>
      </c>
      <c r="G104" s="6" t="s">
        <v>126</v>
      </c>
      <c r="H104" s="6">
        <v>2000</v>
      </c>
      <c r="I104" s="6" t="s">
        <v>135</v>
      </c>
      <c r="J104" s="6" t="s">
        <v>89</v>
      </c>
      <c r="K104" s="6">
        <v>800</v>
      </c>
      <c r="L104" s="6">
        <v>2</v>
      </c>
      <c r="M104" s="6"/>
      <c r="N104" s="60"/>
      <c r="O104" s="6">
        <v>5</v>
      </c>
      <c r="P104" s="6">
        <v>1</v>
      </c>
    </row>
    <row r="105" spans="1:16" s="3" customFormat="1" x14ac:dyDescent="0.25">
      <c r="A105" s="6">
        <v>226</v>
      </c>
      <c r="B105" s="6" t="s">
        <v>259</v>
      </c>
      <c r="C105" s="6">
        <v>177</v>
      </c>
      <c r="D105" s="12">
        <v>177</v>
      </c>
      <c r="E105" s="60">
        <v>441</v>
      </c>
      <c r="F105" s="60">
        <v>441</v>
      </c>
      <c r="G105" s="6" t="s">
        <v>126</v>
      </c>
      <c r="H105" s="6">
        <v>1500</v>
      </c>
      <c r="I105" s="6" t="s">
        <v>144</v>
      </c>
      <c r="J105" s="6" t="s">
        <v>85</v>
      </c>
      <c r="K105" s="6">
        <v>1000</v>
      </c>
      <c r="L105" s="6">
        <v>2</v>
      </c>
      <c r="M105" s="6"/>
      <c r="N105" s="60"/>
      <c r="O105" s="6">
        <v>5</v>
      </c>
      <c r="P105" s="6">
        <v>2</v>
      </c>
    </row>
    <row r="106" spans="1:16" s="3" customFormat="1" x14ac:dyDescent="0.25">
      <c r="A106" s="6">
        <v>314</v>
      </c>
      <c r="B106" s="6" t="s">
        <v>259</v>
      </c>
      <c r="C106" s="6">
        <v>177</v>
      </c>
      <c r="D106" s="12">
        <v>177</v>
      </c>
      <c r="E106" s="60">
        <v>358</v>
      </c>
      <c r="F106" s="60">
        <v>358</v>
      </c>
      <c r="G106" s="6" t="s">
        <v>126</v>
      </c>
      <c r="H106" s="6">
        <v>500</v>
      </c>
      <c r="I106" s="6" t="s">
        <v>145</v>
      </c>
      <c r="J106" s="6" t="s">
        <v>92</v>
      </c>
      <c r="K106" s="6">
        <v>100</v>
      </c>
      <c r="L106" s="6">
        <v>1</v>
      </c>
      <c r="M106" s="6">
        <v>1</v>
      </c>
      <c r="N106" s="60">
        <v>4</v>
      </c>
      <c r="O106" s="6">
        <v>2</v>
      </c>
      <c r="P106" s="6">
        <v>1</v>
      </c>
    </row>
    <row r="107" spans="1:16" s="3" customFormat="1" x14ac:dyDescent="0.25">
      <c r="A107" s="6">
        <v>321</v>
      </c>
      <c r="B107" s="6" t="s">
        <v>259</v>
      </c>
      <c r="C107" s="6">
        <v>177</v>
      </c>
      <c r="D107" s="12">
        <v>177</v>
      </c>
      <c r="E107" s="60">
        <v>442</v>
      </c>
      <c r="F107" s="60">
        <v>442</v>
      </c>
      <c r="G107" s="6" t="s">
        <v>126</v>
      </c>
      <c r="H107" s="6">
        <v>1000</v>
      </c>
      <c r="I107" s="6" t="s">
        <v>144</v>
      </c>
      <c r="J107" s="6" t="s">
        <v>92</v>
      </c>
      <c r="K107" s="6">
        <v>500</v>
      </c>
      <c r="L107" s="6">
        <v>2</v>
      </c>
      <c r="M107" s="6"/>
      <c r="N107" s="60"/>
      <c r="O107" s="6">
        <v>2</v>
      </c>
      <c r="P107" s="6">
        <v>2</v>
      </c>
    </row>
    <row r="108" spans="1:16" s="3" customFormat="1" x14ac:dyDescent="0.25">
      <c r="A108" s="6">
        <v>315</v>
      </c>
      <c r="B108" s="6" t="s">
        <v>259</v>
      </c>
      <c r="C108" s="6">
        <v>177</v>
      </c>
      <c r="D108" s="12">
        <v>177</v>
      </c>
      <c r="E108" s="60">
        <v>360</v>
      </c>
      <c r="F108" s="60">
        <v>360</v>
      </c>
      <c r="G108" s="6" t="s">
        <v>126</v>
      </c>
      <c r="H108" s="6">
        <v>1500</v>
      </c>
      <c r="I108" s="6" t="s">
        <v>127</v>
      </c>
      <c r="J108" s="6" t="s">
        <v>92</v>
      </c>
      <c r="K108" s="6">
        <v>1000</v>
      </c>
      <c r="L108" s="6">
        <v>1</v>
      </c>
      <c r="M108" s="6">
        <v>1</v>
      </c>
      <c r="N108" s="60">
        <v>5</v>
      </c>
      <c r="O108" s="6">
        <v>4</v>
      </c>
      <c r="P108" s="6">
        <v>1</v>
      </c>
    </row>
    <row r="109" spans="1:16" s="3" customFormat="1" x14ac:dyDescent="0.25">
      <c r="A109" s="6">
        <v>227</v>
      </c>
      <c r="B109" s="6" t="s">
        <v>259</v>
      </c>
      <c r="C109" s="6">
        <v>177</v>
      </c>
      <c r="D109" s="12">
        <v>177</v>
      </c>
      <c r="E109" s="60" t="s">
        <v>147</v>
      </c>
      <c r="F109" s="60" t="s">
        <v>147</v>
      </c>
      <c r="G109" s="6" t="s">
        <v>126</v>
      </c>
      <c r="H109" s="6">
        <v>120</v>
      </c>
      <c r="I109" s="6" t="s">
        <v>136</v>
      </c>
      <c r="J109" s="6" t="s">
        <v>85</v>
      </c>
      <c r="K109" s="6">
        <v>100</v>
      </c>
      <c r="L109" s="6">
        <v>1</v>
      </c>
      <c r="M109" s="6">
        <v>1</v>
      </c>
      <c r="N109" s="60">
        <v>5</v>
      </c>
      <c r="O109" s="6">
        <v>5</v>
      </c>
      <c r="P109" s="6">
        <v>1</v>
      </c>
    </row>
    <row r="110" spans="1:16" s="3" customFormat="1" x14ac:dyDescent="0.25">
      <c r="A110" s="6">
        <v>228</v>
      </c>
      <c r="B110" s="6" t="s">
        <v>259</v>
      </c>
      <c r="C110" s="6">
        <v>177</v>
      </c>
      <c r="D110" s="12">
        <v>177</v>
      </c>
      <c r="E110" s="60">
        <v>351</v>
      </c>
      <c r="F110" s="60">
        <v>357</v>
      </c>
      <c r="G110" s="6" t="s">
        <v>126</v>
      </c>
      <c r="H110" s="6">
        <v>1500</v>
      </c>
      <c r="I110" s="6" t="s">
        <v>127</v>
      </c>
      <c r="J110" s="6" t="s">
        <v>92</v>
      </c>
      <c r="K110" s="6">
        <v>600</v>
      </c>
      <c r="L110" s="6">
        <v>1</v>
      </c>
      <c r="M110" s="6">
        <v>1</v>
      </c>
      <c r="N110" s="60">
        <v>5</v>
      </c>
      <c r="O110" s="6">
        <v>4</v>
      </c>
      <c r="P110" s="6">
        <v>2</v>
      </c>
    </row>
    <row r="111" spans="1:16" s="3" customFormat="1" x14ac:dyDescent="0.25">
      <c r="A111" s="6">
        <v>251</v>
      </c>
      <c r="B111" s="6" t="s">
        <v>259</v>
      </c>
      <c r="C111" s="6">
        <v>177</v>
      </c>
      <c r="D111" s="12">
        <v>177</v>
      </c>
      <c r="E111" s="60">
        <v>481</v>
      </c>
      <c r="F111" s="60" t="s">
        <v>149</v>
      </c>
      <c r="G111" s="6" t="s">
        <v>150</v>
      </c>
      <c r="H111" s="6">
        <v>1000</v>
      </c>
      <c r="I111" s="6"/>
      <c r="J111" s="6" t="s">
        <v>89</v>
      </c>
      <c r="K111" s="6"/>
      <c r="L111" s="6">
        <v>2</v>
      </c>
      <c r="M111" s="6"/>
      <c r="N111" s="60"/>
      <c r="O111" s="6">
        <v>6</v>
      </c>
      <c r="P111" s="6">
        <v>3</v>
      </c>
    </row>
    <row r="112" spans="1:16" s="3" customFormat="1" x14ac:dyDescent="0.25">
      <c r="A112" s="6">
        <v>102</v>
      </c>
      <c r="B112" s="6" t="s">
        <v>259</v>
      </c>
      <c r="C112" s="6">
        <v>176</v>
      </c>
      <c r="D112" s="12">
        <v>177</v>
      </c>
      <c r="E112" s="60" t="s">
        <v>151</v>
      </c>
      <c r="F112" s="60" t="s">
        <v>151</v>
      </c>
      <c r="G112" s="6" t="s">
        <v>150</v>
      </c>
      <c r="H112" s="6">
        <v>12</v>
      </c>
      <c r="I112" s="6" t="s">
        <v>152</v>
      </c>
      <c r="J112" s="6" t="s">
        <v>89</v>
      </c>
      <c r="K112" s="6">
        <v>12</v>
      </c>
      <c r="L112" s="6">
        <v>1</v>
      </c>
      <c r="M112" s="6">
        <v>2</v>
      </c>
      <c r="N112" s="60" t="s">
        <v>153</v>
      </c>
      <c r="O112" s="6">
        <v>6</v>
      </c>
      <c r="P112" s="6">
        <v>4</v>
      </c>
    </row>
    <row r="113" spans="1:18" s="3" customFormat="1" x14ac:dyDescent="0.25">
      <c r="A113" s="6">
        <v>104</v>
      </c>
      <c r="B113" s="6" t="s">
        <v>259</v>
      </c>
      <c r="C113" s="6">
        <v>176</v>
      </c>
      <c r="D113" s="12">
        <v>177</v>
      </c>
      <c r="E113" s="60">
        <v>559</v>
      </c>
      <c r="F113" s="60">
        <v>393</v>
      </c>
      <c r="G113" s="6" t="s">
        <v>150</v>
      </c>
      <c r="H113" s="6">
        <v>2</v>
      </c>
      <c r="I113" s="6" t="s">
        <v>138</v>
      </c>
      <c r="J113" s="6" t="s">
        <v>89</v>
      </c>
      <c r="K113" s="6">
        <v>2</v>
      </c>
      <c r="L113" s="6">
        <v>2</v>
      </c>
      <c r="M113" s="6"/>
      <c r="N113" s="60"/>
      <c r="O113" s="6">
        <v>4</v>
      </c>
      <c r="P113" s="6">
        <v>2</v>
      </c>
    </row>
    <row r="114" spans="1:18" s="3" customFormat="1" x14ac:dyDescent="0.25">
      <c r="A114" s="6">
        <v>105</v>
      </c>
      <c r="B114" s="6" t="s">
        <v>259</v>
      </c>
      <c r="C114" s="6">
        <v>176</v>
      </c>
      <c r="D114" s="12">
        <v>176</v>
      </c>
      <c r="E114" s="60">
        <v>519</v>
      </c>
      <c r="F114" s="68">
        <v>519</v>
      </c>
      <c r="G114" s="6" t="s">
        <v>150</v>
      </c>
      <c r="H114" s="6">
        <v>1</v>
      </c>
      <c r="I114" s="6" t="s">
        <v>138</v>
      </c>
      <c r="J114" s="6" t="s">
        <v>89</v>
      </c>
      <c r="K114" s="6">
        <v>1</v>
      </c>
      <c r="L114" s="6">
        <v>2</v>
      </c>
      <c r="M114" s="6"/>
      <c r="N114" s="60"/>
      <c r="O114" s="6">
        <v>5</v>
      </c>
      <c r="P114" s="6">
        <v>1</v>
      </c>
    </row>
    <row r="115" spans="1:18" s="3" customFormat="1" x14ac:dyDescent="0.25">
      <c r="A115" s="6">
        <v>6</v>
      </c>
      <c r="B115" s="6" t="s">
        <v>259</v>
      </c>
      <c r="C115" s="6">
        <v>176</v>
      </c>
      <c r="D115" s="12">
        <v>176</v>
      </c>
      <c r="E115" s="60">
        <v>497</v>
      </c>
      <c r="F115" s="60">
        <v>497</v>
      </c>
      <c r="G115" s="6" t="s">
        <v>150</v>
      </c>
      <c r="H115" s="6">
        <v>10</v>
      </c>
      <c r="I115" s="6"/>
      <c r="J115" s="6" t="s">
        <v>89</v>
      </c>
      <c r="K115" s="6">
        <v>5</v>
      </c>
      <c r="L115" s="6">
        <v>2</v>
      </c>
      <c r="M115" s="6"/>
      <c r="N115" s="60"/>
      <c r="O115" s="6">
        <v>3</v>
      </c>
      <c r="P115" s="6">
        <v>3</v>
      </c>
    </row>
    <row r="116" spans="1:18" s="3" customFormat="1" x14ac:dyDescent="0.25">
      <c r="A116" s="6">
        <v>202</v>
      </c>
      <c r="B116" s="6" t="s">
        <v>259</v>
      </c>
      <c r="C116" s="6">
        <v>177</v>
      </c>
      <c r="D116" s="12">
        <v>177</v>
      </c>
      <c r="E116" s="60">
        <v>413</v>
      </c>
      <c r="F116" s="60">
        <v>413</v>
      </c>
      <c r="G116" s="6" t="s">
        <v>150</v>
      </c>
      <c r="H116" s="6"/>
      <c r="I116" s="6"/>
      <c r="J116" s="6" t="s">
        <v>89</v>
      </c>
      <c r="K116" s="6"/>
      <c r="L116" s="6">
        <v>2</v>
      </c>
      <c r="M116" s="6"/>
      <c r="N116" s="60"/>
      <c r="O116" s="6">
        <v>6</v>
      </c>
      <c r="P116" s="6">
        <v>1</v>
      </c>
    </row>
    <row r="117" spans="1:18" s="3" customFormat="1" x14ac:dyDescent="0.25">
      <c r="A117" s="7">
        <v>203</v>
      </c>
      <c r="B117" s="7" t="s">
        <v>259</v>
      </c>
      <c r="C117" s="7">
        <v>177</v>
      </c>
      <c r="D117" s="14">
        <v>177</v>
      </c>
      <c r="E117" s="61" t="s">
        <v>154</v>
      </c>
      <c r="F117" s="61" t="s">
        <v>154</v>
      </c>
      <c r="G117" s="7" t="s">
        <v>150</v>
      </c>
      <c r="H117" s="7">
        <v>1000</v>
      </c>
      <c r="I117" s="7"/>
      <c r="J117" s="7" t="s">
        <v>89</v>
      </c>
      <c r="K117" s="7"/>
      <c r="L117" s="7">
        <v>2</v>
      </c>
      <c r="M117" s="7"/>
      <c r="N117" s="61"/>
      <c r="O117" s="7">
        <v>7</v>
      </c>
      <c r="P117" s="7">
        <v>2</v>
      </c>
    </row>
    <row r="118" spans="1:18" s="3" customFormat="1" x14ac:dyDescent="0.25">
      <c r="A118" s="59"/>
      <c r="B118" s="59"/>
      <c r="C118" s="59"/>
      <c r="D118" s="59"/>
      <c r="E118" s="62"/>
      <c r="F118" s="62"/>
      <c r="G118" s="59"/>
      <c r="H118" s="59"/>
      <c r="I118" s="59"/>
      <c r="J118" s="59"/>
      <c r="K118" s="59"/>
      <c r="L118" s="59"/>
      <c r="M118" s="59"/>
      <c r="N118" s="62"/>
      <c r="O118" s="59"/>
      <c r="P118" s="59"/>
    </row>
    <row r="119" spans="1:18" s="3" customFormat="1" x14ac:dyDescent="0.25">
      <c r="A119" s="11">
        <v>7</v>
      </c>
      <c r="B119" s="11" t="s">
        <v>260</v>
      </c>
      <c r="C119" s="11">
        <v>176</v>
      </c>
      <c r="D119" s="15">
        <v>176</v>
      </c>
      <c r="E119" s="66">
        <v>500</v>
      </c>
      <c r="F119" s="66">
        <v>500</v>
      </c>
      <c r="G119" s="11" t="s">
        <v>156</v>
      </c>
      <c r="H119" s="11">
        <v>3</v>
      </c>
      <c r="I119" s="11" t="s">
        <v>155</v>
      </c>
      <c r="J119" s="11" t="s">
        <v>92</v>
      </c>
      <c r="K119" s="11">
        <v>2</v>
      </c>
      <c r="L119" s="11">
        <v>1</v>
      </c>
      <c r="M119" s="11">
        <v>2</v>
      </c>
      <c r="N119" s="66">
        <v>1</v>
      </c>
      <c r="O119" s="11">
        <v>4</v>
      </c>
      <c r="P119" s="11">
        <v>2</v>
      </c>
    </row>
    <row r="120" spans="1:18" customFormat="1" x14ac:dyDescent="0.25">
      <c r="A120" s="8">
        <v>144</v>
      </c>
      <c r="B120" s="6" t="s">
        <v>260</v>
      </c>
      <c r="C120" s="8">
        <v>177</v>
      </c>
      <c r="D120" s="8">
        <v>177</v>
      </c>
      <c r="E120" s="64">
        <v>459</v>
      </c>
      <c r="F120" s="64">
        <v>459</v>
      </c>
      <c r="G120" s="8" t="s">
        <v>156</v>
      </c>
      <c r="H120" s="8">
        <v>500</v>
      </c>
      <c r="I120" s="8" t="s">
        <v>157</v>
      </c>
      <c r="J120" s="6" t="s">
        <v>85</v>
      </c>
      <c r="K120" s="8">
        <v>300</v>
      </c>
      <c r="L120" s="8">
        <v>2</v>
      </c>
      <c r="M120" s="8"/>
      <c r="N120" s="64"/>
      <c r="O120" s="8">
        <v>5</v>
      </c>
      <c r="P120" s="8">
        <v>1</v>
      </c>
      <c r="Q120" s="3"/>
      <c r="R120" s="3"/>
    </row>
    <row r="121" spans="1:18" customFormat="1" x14ac:dyDescent="0.25">
      <c r="A121" s="8">
        <v>261</v>
      </c>
      <c r="B121" s="6" t="s">
        <v>260</v>
      </c>
      <c r="C121" s="8">
        <v>177</v>
      </c>
      <c r="D121" s="8">
        <v>177</v>
      </c>
      <c r="E121" s="64" t="s">
        <v>158</v>
      </c>
      <c r="F121" s="64" t="s">
        <v>158</v>
      </c>
      <c r="G121" s="8" t="s">
        <v>156</v>
      </c>
      <c r="H121" s="8">
        <v>2000</v>
      </c>
      <c r="I121" s="8" t="s">
        <v>159</v>
      </c>
      <c r="J121" s="6" t="s">
        <v>89</v>
      </c>
      <c r="K121" s="8">
        <v>50</v>
      </c>
      <c r="L121" s="8">
        <v>1</v>
      </c>
      <c r="M121" s="8">
        <v>1</v>
      </c>
      <c r="N121" s="64" t="s">
        <v>160</v>
      </c>
      <c r="O121" s="8">
        <v>2</v>
      </c>
      <c r="P121" s="8">
        <v>1</v>
      </c>
      <c r="Q121" s="3"/>
      <c r="R121" s="3"/>
    </row>
    <row r="122" spans="1:18" customFormat="1" x14ac:dyDescent="0.25">
      <c r="A122" s="8">
        <v>208</v>
      </c>
      <c r="B122" s="6" t="s">
        <v>260</v>
      </c>
      <c r="C122" s="8">
        <v>176</v>
      </c>
      <c r="D122" s="8">
        <v>176</v>
      </c>
      <c r="E122" s="64">
        <v>549</v>
      </c>
      <c r="F122" s="64">
        <v>549</v>
      </c>
      <c r="G122" s="8" t="s">
        <v>156</v>
      </c>
      <c r="H122" s="8">
        <v>2000</v>
      </c>
      <c r="I122" s="8" t="s">
        <v>161</v>
      </c>
      <c r="J122" s="6" t="s">
        <v>89</v>
      </c>
      <c r="K122" s="8">
        <v>250</v>
      </c>
      <c r="L122" s="8">
        <v>1</v>
      </c>
      <c r="M122" s="8">
        <v>1</v>
      </c>
      <c r="N122" s="64" t="s">
        <v>134</v>
      </c>
      <c r="O122" s="8">
        <v>5</v>
      </c>
      <c r="P122" s="8">
        <v>2</v>
      </c>
      <c r="Q122" s="3"/>
      <c r="R122" s="3"/>
    </row>
    <row r="123" spans="1:18" customFormat="1" x14ac:dyDescent="0.25">
      <c r="A123" s="8">
        <v>44</v>
      </c>
      <c r="B123" s="6" t="s">
        <v>260</v>
      </c>
      <c r="C123" s="8">
        <v>176</v>
      </c>
      <c r="D123" s="8">
        <v>176</v>
      </c>
      <c r="E123" s="64">
        <v>561</v>
      </c>
      <c r="F123" s="64">
        <v>561</v>
      </c>
      <c r="G123" s="8" t="s">
        <v>156</v>
      </c>
      <c r="H123" s="8">
        <v>1000</v>
      </c>
      <c r="I123" s="8" t="s">
        <v>161</v>
      </c>
      <c r="J123" s="6" t="s">
        <v>89</v>
      </c>
      <c r="K123" s="8">
        <v>5</v>
      </c>
      <c r="L123" s="8">
        <v>1</v>
      </c>
      <c r="M123" s="8">
        <v>1</v>
      </c>
      <c r="N123" s="64">
        <v>1</v>
      </c>
      <c r="O123" s="8">
        <v>4</v>
      </c>
      <c r="P123" s="8">
        <v>1</v>
      </c>
      <c r="Q123" s="3"/>
      <c r="R123" s="3"/>
    </row>
    <row r="124" spans="1:18" customFormat="1" x14ac:dyDescent="0.25">
      <c r="A124" s="8">
        <v>209</v>
      </c>
      <c r="B124" s="6" t="s">
        <v>260</v>
      </c>
      <c r="C124" s="8">
        <v>176</v>
      </c>
      <c r="D124" s="8">
        <v>176</v>
      </c>
      <c r="E124" s="64">
        <v>490</v>
      </c>
      <c r="F124" s="64">
        <v>490</v>
      </c>
      <c r="G124" s="8" t="s">
        <v>156</v>
      </c>
      <c r="H124" s="8">
        <v>2500</v>
      </c>
      <c r="I124" s="8" t="s">
        <v>162</v>
      </c>
      <c r="J124" s="6" t="s">
        <v>92</v>
      </c>
      <c r="K124" s="8">
        <v>600</v>
      </c>
      <c r="L124" s="8">
        <v>2</v>
      </c>
      <c r="M124" s="8"/>
      <c r="N124" s="64"/>
      <c r="O124" s="8">
        <v>5</v>
      </c>
      <c r="P124" s="8">
        <v>2</v>
      </c>
      <c r="Q124" s="3"/>
      <c r="R124" s="3"/>
    </row>
    <row r="125" spans="1:18" customFormat="1" x14ac:dyDescent="0.25">
      <c r="A125" s="8">
        <v>45</v>
      </c>
      <c r="B125" s="6" t="s">
        <v>260</v>
      </c>
      <c r="C125" s="8">
        <v>176</v>
      </c>
      <c r="D125" s="8">
        <v>176</v>
      </c>
      <c r="E125" s="64">
        <v>520</v>
      </c>
      <c r="F125" s="64">
        <v>520</v>
      </c>
      <c r="G125" s="8" t="s">
        <v>156</v>
      </c>
      <c r="H125" s="8">
        <v>500</v>
      </c>
      <c r="I125" s="8" t="s">
        <v>159</v>
      </c>
      <c r="J125" s="6" t="s">
        <v>89</v>
      </c>
      <c r="K125" s="8">
        <v>10</v>
      </c>
      <c r="L125" s="8">
        <v>2</v>
      </c>
      <c r="M125" s="8"/>
      <c r="N125" s="64"/>
      <c r="O125" s="8">
        <v>3</v>
      </c>
      <c r="P125" s="8">
        <v>3</v>
      </c>
      <c r="Q125" s="3"/>
      <c r="R125" s="3"/>
    </row>
    <row r="126" spans="1:18" customFormat="1" x14ac:dyDescent="0.25">
      <c r="A126" s="8">
        <v>210</v>
      </c>
      <c r="B126" s="6" t="s">
        <v>260</v>
      </c>
      <c r="C126" s="8">
        <v>177</v>
      </c>
      <c r="D126" s="8">
        <v>177</v>
      </c>
      <c r="E126" s="64">
        <v>451</v>
      </c>
      <c r="F126" s="64">
        <v>451</v>
      </c>
      <c r="G126" s="8" t="s">
        <v>156</v>
      </c>
      <c r="H126" s="8">
        <v>250</v>
      </c>
      <c r="I126" s="8" t="s">
        <v>163</v>
      </c>
      <c r="J126" s="6" t="s">
        <v>85</v>
      </c>
      <c r="K126" s="8">
        <v>20</v>
      </c>
      <c r="L126" s="8">
        <v>2</v>
      </c>
      <c r="M126" s="8"/>
      <c r="N126" s="64"/>
      <c r="O126" s="8">
        <v>3</v>
      </c>
      <c r="P126" s="8">
        <v>2</v>
      </c>
      <c r="Q126" s="3"/>
      <c r="R126" s="3"/>
    </row>
    <row r="127" spans="1:18" customFormat="1" x14ac:dyDescent="0.25">
      <c r="A127" s="8">
        <v>211</v>
      </c>
      <c r="B127" s="6" t="s">
        <v>260</v>
      </c>
      <c r="C127" s="8">
        <v>176</v>
      </c>
      <c r="D127" s="8">
        <v>176</v>
      </c>
      <c r="E127" s="64">
        <v>495</v>
      </c>
      <c r="F127" s="64">
        <v>495</v>
      </c>
      <c r="G127" s="8" t="s">
        <v>156</v>
      </c>
      <c r="H127" s="8">
        <v>1250</v>
      </c>
      <c r="I127" s="8" t="s">
        <v>162</v>
      </c>
      <c r="J127" s="6" t="s">
        <v>92</v>
      </c>
      <c r="K127" s="8">
        <v>250</v>
      </c>
      <c r="L127" s="8">
        <v>1</v>
      </c>
      <c r="M127" s="8">
        <v>1</v>
      </c>
      <c r="N127" s="64"/>
      <c r="O127" s="8">
        <v>6</v>
      </c>
      <c r="P127" s="8">
        <v>2</v>
      </c>
      <c r="Q127" s="3"/>
      <c r="R127" s="3"/>
    </row>
    <row r="128" spans="1:18" customFormat="1" x14ac:dyDescent="0.25">
      <c r="A128" s="8">
        <v>212</v>
      </c>
      <c r="B128" s="6" t="s">
        <v>260</v>
      </c>
      <c r="C128" s="8">
        <v>177</v>
      </c>
      <c r="D128" s="8">
        <v>177</v>
      </c>
      <c r="E128" s="64">
        <v>478</v>
      </c>
      <c r="F128" s="64">
        <v>478</v>
      </c>
      <c r="G128" s="8" t="s">
        <v>156</v>
      </c>
      <c r="H128" s="8">
        <v>1500</v>
      </c>
      <c r="I128" s="8" t="s">
        <v>164</v>
      </c>
      <c r="J128" s="6" t="s">
        <v>85</v>
      </c>
      <c r="K128" s="8">
        <v>1000</v>
      </c>
      <c r="L128" s="8">
        <v>1</v>
      </c>
      <c r="M128" s="8">
        <v>2</v>
      </c>
      <c r="N128" s="64"/>
      <c r="O128" s="8">
        <v>4</v>
      </c>
      <c r="P128" s="8">
        <v>2</v>
      </c>
      <c r="Q128" s="3"/>
      <c r="R128" s="3"/>
    </row>
    <row r="129" spans="1:18" customFormat="1" x14ac:dyDescent="0.25">
      <c r="A129" s="8">
        <v>145</v>
      </c>
      <c r="B129" s="6" t="s">
        <v>260</v>
      </c>
      <c r="C129" s="8">
        <v>176</v>
      </c>
      <c r="D129" s="8">
        <v>176</v>
      </c>
      <c r="E129" s="64">
        <v>568</v>
      </c>
      <c r="F129" s="64">
        <v>568</v>
      </c>
      <c r="G129" s="8" t="s">
        <v>156</v>
      </c>
      <c r="H129" s="8">
        <v>1000</v>
      </c>
      <c r="I129" s="8" t="s">
        <v>165</v>
      </c>
      <c r="J129" s="6" t="s">
        <v>89</v>
      </c>
      <c r="K129" s="8">
        <v>5</v>
      </c>
      <c r="L129" s="8">
        <v>2</v>
      </c>
      <c r="M129" s="8"/>
      <c r="N129" s="64"/>
      <c r="O129" s="8">
        <v>5</v>
      </c>
      <c r="P129" s="8">
        <v>1</v>
      </c>
      <c r="Q129" s="3"/>
      <c r="R129" s="3"/>
    </row>
    <row r="130" spans="1:18" customFormat="1" x14ac:dyDescent="0.25">
      <c r="A130" s="8">
        <v>46</v>
      </c>
      <c r="B130" s="6" t="s">
        <v>260</v>
      </c>
      <c r="C130" s="8">
        <v>176</v>
      </c>
      <c r="D130" s="8">
        <v>176</v>
      </c>
      <c r="E130" s="64">
        <v>530</v>
      </c>
      <c r="F130" s="64">
        <v>530</v>
      </c>
      <c r="G130" s="8" t="s">
        <v>156</v>
      </c>
      <c r="H130" s="8">
        <v>1000</v>
      </c>
      <c r="I130" s="8" t="s">
        <v>166</v>
      </c>
      <c r="J130" s="6" t="s">
        <v>89</v>
      </c>
      <c r="K130" s="8">
        <v>5</v>
      </c>
      <c r="L130" s="8">
        <v>1</v>
      </c>
      <c r="M130" s="8">
        <v>1</v>
      </c>
      <c r="N130" s="64">
        <v>1</v>
      </c>
      <c r="O130" s="8">
        <v>6</v>
      </c>
      <c r="P130" s="8">
        <v>1</v>
      </c>
      <c r="Q130" s="3"/>
      <c r="R130" s="3"/>
    </row>
    <row r="131" spans="1:18" customFormat="1" x14ac:dyDescent="0.25">
      <c r="A131" s="8">
        <v>47</v>
      </c>
      <c r="B131" s="6" t="s">
        <v>260</v>
      </c>
      <c r="C131" s="8">
        <v>176</v>
      </c>
      <c r="D131" s="8">
        <v>176</v>
      </c>
      <c r="E131" s="64">
        <v>547</v>
      </c>
      <c r="F131" s="64">
        <v>547</v>
      </c>
      <c r="G131" s="8" t="s">
        <v>156</v>
      </c>
      <c r="H131" s="8">
        <v>250</v>
      </c>
      <c r="I131" s="8" t="s">
        <v>167</v>
      </c>
      <c r="J131" s="6" t="s">
        <v>89</v>
      </c>
      <c r="K131" s="8">
        <v>15</v>
      </c>
      <c r="L131" s="8">
        <v>2</v>
      </c>
      <c r="M131" s="8"/>
      <c r="N131" s="64"/>
      <c r="O131" s="8">
        <v>9</v>
      </c>
      <c r="P131" s="8">
        <v>3</v>
      </c>
      <c r="Q131" s="3"/>
      <c r="R131" s="3"/>
    </row>
    <row r="132" spans="1:18" customFormat="1" x14ac:dyDescent="0.25">
      <c r="A132" s="8">
        <v>213</v>
      </c>
      <c r="B132" s="6" t="s">
        <v>260</v>
      </c>
      <c r="C132" s="8">
        <v>176</v>
      </c>
      <c r="D132" s="8">
        <v>176</v>
      </c>
      <c r="E132" s="64">
        <v>507</v>
      </c>
      <c r="F132" s="64">
        <v>507</v>
      </c>
      <c r="G132" s="8" t="s">
        <v>156</v>
      </c>
      <c r="H132" s="8">
        <v>2000</v>
      </c>
      <c r="I132" s="8" t="s">
        <v>168</v>
      </c>
      <c r="J132" s="6" t="s">
        <v>89</v>
      </c>
      <c r="K132" s="8">
        <v>200</v>
      </c>
      <c r="L132" s="8">
        <v>1</v>
      </c>
      <c r="M132" s="8">
        <v>1</v>
      </c>
      <c r="N132" s="64">
        <v>5</v>
      </c>
      <c r="O132" s="8">
        <v>4</v>
      </c>
      <c r="P132" s="8">
        <v>4</v>
      </c>
      <c r="Q132" s="3"/>
      <c r="R132" s="3"/>
    </row>
    <row r="133" spans="1:18" customFormat="1" x14ac:dyDescent="0.25">
      <c r="A133" s="8">
        <v>262</v>
      </c>
      <c r="B133" s="6" t="s">
        <v>260</v>
      </c>
      <c r="C133" s="8">
        <v>177</v>
      </c>
      <c r="D133" s="8">
        <v>177</v>
      </c>
      <c r="E133" s="64">
        <v>496</v>
      </c>
      <c r="F133" s="64">
        <v>496</v>
      </c>
      <c r="G133" s="8" t="s">
        <v>156</v>
      </c>
      <c r="H133" s="8"/>
      <c r="I133" s="8" t="s">
        <v>258</v>
      </c>
      <c r="J133" s="6" t="s">
        <v>92</v>
      </c>
      <c r="K133" s="8">
        <v>3</v>
      </c>
      <c r="L133" s="8">
        <v>1</v>
      </c>
      <c r="M133" s="8">
        <v>1</v>
      </c>
      <c r="N133" s="64" t="s">
        <v>106</v>
      </c>
      <c r="O133" s="8">
        <v>4</v>
      </c>
      <c r="P133" s="8">
        <v>2</v>
      </c>
      <c r="Q133" s="3"/>
      <c r="R133" s="3"/>
    </row>
    <row r="134" spans="1:18" customFormat="1" x14ac:dyDescent="0.25">
      <c r="A134" s="8">
        <v>143</v>
      </c>
      <c r="B134" s="6" t="s">
        <v>260</v>
      </c>
      <c r="C134" s="8">
        <v>176</v>
      </c>
      <c r="D134" s="8">
        <v>176</v>
      </c>
      <c r="E134" s="64">
        <v>509</v>
      </c>
      <c r="F134" s="64">
        <v>509</v>
      </c>
      <c r="G134" s="8" t="s">
        <v>156</v>
      </c>
      <c r="H134" s="8">
        <v>3000</v>
      </c>
      <c r="I134" s="8" t="s">
        <v>168</v>
      </c>
      <c r="J134" s="6" t="s">
        <v>89</v>
      </c>
      <c r="K134" s="8">
        <v>1</v>
      </c>
      <c r="L134" s="8">
        <v>1</v>
      </c>
      <c r="M134" s="8">
        <v>1</v>
      </c>
      <c r="N134" s="64">
        <v>4</v>
      </c>
      <c r="O134" s="8">
        <v>5</v>
      </c>
      <c r="P134" s="8">
        <v>1</v>
      </c>
      <c r="Q134" s="3"/>
      <c r="R134" s="3"/>
    </row>
    <row r="135" spans="1:18" customFormat="1" x14ac:dyDescent="0.25">
      <c r="A135" s="8">
        <v>263</v>
      </c>
      <c r="B135" s="6" t="s">
        <v>260</v>
      </c>
      <c r="C135" s="8">
        <v>176</v>
      </c>
      <c r="D135" s="8">
        <v>176</v>
      </c>
      <c r="E135" s="64">
        <v>494</v>
      </c>
      <c r="F135" s="64">
        <v>494</v>
      </c>
      <c r="G135" s="8" t="s">
        <v>156</v>
      </c>
      <c r="H135" s="8">
        <v>3500</v>
      </c>
      <c r="I135" s="8" t="s">
        <v>162</v>
      </c>
      <c r="J135" s="6" t="s">
        <v>92</v>
      </c>
      <c r="K135" s="8">
        <v>500</v>
      </c>
      <c r="L135" s="8">
        <v>1</v>
      </c>
      <c r="M135" s="8">
        <v>1</v>
      </c>
      <c r="N135" s="64"/>
      <c r="O135" s="8">
        <v>4</v>
      </c>
      <c r="P135" s="8">
        <v>2</v>
      </c>
      <c r="Q135" s="3"/>
      <c r="R135" s="3"/>
    </row>
    <row r="136" spans="1:18" customFormat="1" x14ac:dyDescent="0.25">
      <c r="A136" s="8">
        <v>264</v>
      </c>
      <c r="B136" s="6" t="s">
        <v>260</v>
      </c>
      <c r="C136" s="8">
        <v>176</v>
      </c>
      <c r="D136" s="8">
        <v>176</v>
      </c>
      <c r="E136" s="64">
        <v>469</v>
      </c>
      <c r="F136" s="64">
        <v>469</v>
      </c>
      <c r="G136" s="8" t="s">
        <v>156</v>
      </c>
      <c r="H136" s="8">
        <v>2000</v>
      </c>
      <c r="I136" s="8" t="s">
        <v>164</v>
      </c>
      <c r="J136" s="6" t="s">
        <v>85</v>
      </c>
      <c r="K136" s="8">
        <v>100</v>
      </c>
      <c r="L136" s="8">
        <v>1</v>
      </c>
      <c r="M136" s="8">
        <v>1</v>
      </c>
      <c r="N136" s="64" t="s">
        <v>140</v>
      </c>
      <c r="O136" s="8">
        <v>10</v>
      </c>
      <c r="P136" s="8">
        <v>4</v>
      </c>
      <c r="Q136" s="3"/>
      <c r="R136" s="3"/>
    </row>
    <row r="137" spans="1:18" customFormat="1" x14ac:dyDescent="0.25">
      <c r="A137" s="8">
        <v>265</v>
      </c>
      <c r="B137" s="6" t="s">
        <v>260</v>
      </c>
      <c r="C137" s="8">
        <v>176</v>
      </c>
      <c r="D137" s="8">
        <v>176</v>
      </c>
      <c r="E137" s="64">
        <v>499</v>
      </c>
      <c r="F137" s="64">
        <v>499</v>
      </c>
      <c r="G137" s="8" t="s">
        <v>156</v>
      </c>
      <c r="H137" s="8">
        <v>2500</v>
      </c>
      <c r="I137" s="8" t="s">
        <v>155</v>
      </c>
      <c r="J137" s="6" t="s">
        <v>92</v>
      </c>
      <c r="K137" s="8">
        <v>100</v>
      </c>
      <c r="L137" s="8">
        <v>1</v>
      </c>
      <c r="M137" s="8">
        <v>1</v>
      </c>
      <c r="N137" s="64">
        <v>1</v>
      </c>
      <c r="O137" s="8">
        <v>5</v>
      </c>
      <c r="P137" s="8">
        <v>2</v>
      </c>
      <c r="Q137" s="3"/>
      <c r="R137" s="3"/>
    </row>
    <row r="138" spans="1:18" customFormat="1" x14ac:dyDescent="0.25">
      <c r="A138" s="8">
        <v>266</v>
      </c>
      <c r="B138" s="6" t="s">
        <v>260</v>
      </c>
      <c r="C138" s="8">
        <v>176</v>
      </c>
      <c r="D138" s="8">
        <v>176</v>
      </c>
      <c r="E138" s="64">
        <v>483</v>
      </c>
      <c r="F138" s="64">
        <v>483</v>
      </c>
      <c r="G138" s="8" t="s">
        <v>156</v>
      </c>
      <c r="H138" s="8">
        <v>2000</v>
      </c>
      <c r="I138" s="8" t="s">
        <v>155</v>
      </c>
      <c r="J138" s="6" t="s">
        <v>92</v>
      </c>
      <c r="K138" s="8">
        <v>4</v>
      </c>
      <c r="L138" s="8">
        <v>2</v>
      </c>
      <c r="M138" s="8"/>
      <c r="N138" s="64"/>
      <c r="O138" s="8">
        <v>6</v>
      </c>
      <c r="P138" s="8">
        <v>3</v>
      </c>
      <c r="Q138" s="3"/>
      <c r="R138" s="3"/>
    </row>
    <row r="139" spans="1:18" customFormat="1" x14ac:dyDescent="0.25">
      <c r="A139" s="8">
        <v>267</v>
      </c>
      <c r="B139" s="6" t="s">
        <v>260</v>
      </c>
      <c r="C139" s="8">
        <v>176</v>
      </c>
      <c r="D139" s="8">
        <v>176</v>
      </c>
      <c r="E139" s="64">
        <v>485</v>
      </c>
      <c r="F139" s="64">
        <v>485</v>
      </c>
      <c r="G139" s="8" t="s">
        <v>156</v>
      </c>
      <c r="H139" s="8">
        <v>500</v>
      </c>
      <c r="I139" s="8" t="s">
        <v>162</v>
      </c>
      <c r="J139" s="6" t="s">
        <v>92</v>
      </c>
      <c r="K139" s="8">
        <v>15</v>
      </c>
      <c r="L139" s="8">
        <v>1</v>
      </c>
      <c r="M139" s="8">
        <v>1</v>
      </c>
      <c r="N139" s="64" t="s">
        <v>160</v>
      </c>
      <c r="O139" s="8">
        <v>4</v>
      </c>
      <c r="P139" s="8">
        <v>2</v>
      </c>
      <c r="Q139" s="3"/>
      <c r="R139" s="3"/>
    </row>
    <row r="140" spans="1:18" customFormat="1" x14ac:dyDescent="0.25">
      <c r="A140" s="8">
        <v>146</v>
      </c>
      <c r="B140" s="6" t="s">
        <v>260</v>
      </c>
      <c r="C140" s="8">
        <v>176</v>
      </c>
      <c r="D140" s="8">
        <v>176</v>
      </c>
      <c r="E140" s="64">
        <v>548</v>
      </c>
      <c r="F140" s="64">
        <v>548</v>
      </c>
      <c r="G140" s="8" t="s">
        <v>156</v>
      </c>
      <c r="H140" s="8">
        <v>3000</v>
      </c>
      <c r="I140" s="8" t="s">
        <v>167</v>
      </c>
      <c r="J140" s="6" t="s">
        <v>89</v>
      </c>
      <c r="K140" s="8">
        <v>5</v>
      </c>
      <c r="L140" s="8">
        <v>1</v>
      </c>
      <c r="M140" s="8">
        <v>1</v>
      </c>
      <c r="N140" s="64">
        <v>5</v>
      </c>
      <c r="O140" s="8">
        <v>5</v>
      </c>
      <c r="P140" s="8">
        <v>1</v>
      </c>
      <c r="Q140" s="3"/>
      <c r="R140" s="3"/>
    </row>
    <row r="141" spans="1:18" customFormat="1" x14ac:dyDescent="0.25">
      <c r="A141" s="8">
        <v>43</v>
      </c>
      <c r="B141" s="6" t="s">
        <v>260</v>
      </c>
      <c r="C141" s="8">
        <v>176</v>
      </c>
      <c r="D141" s="8">
        <v>176</v>
      </c>
      <c r="E141" s="64" t="s">
        <v>169</v>
      </c>
      <c r="F141" s="64" t="s">
        <v>169</v>
      </c>
      <c r="G141" s="8" t="s">
        <v>156</v>
      </c>
      <c r="H141" s="8">
        <v>250</v>
      </c>
      <c r="I141" s="8" t="s">
        <v>168</v>
      </c>
      <c r="J141" s="6" t="s">
        <v>89</v>
      </c>
      <c r="K141" s="8">
        <v>5</v>
      </c>
      <c r="L141" s="8">
        <v>2</v>
      </c>
      <c r="M141" s="8"/>
      <c r="N141" s="64"/>
      <c r="O141" s="8">
        <v>6</v>
      </c>
      <c r="P141" s="8">
        <v>1</v>
      </c>
      <c r="Q141" s="3"/>
      <c r="R141" s="3"/>
    </row>
    <row r="142" spans="1:18" customFormat="1" x14ac:dyDescent="0.25">
      <c r="A142" s="8">
        <v>257</v>
      </c>
      <c r="B142" s="6" t="s">
        <v>260</v>
      </c>
      <c r="C142" s="8">
        <v>176</v>
      </c>
      <c r="D142" s="8">
        <v>176</v>
      </c>
      <c r="E142" s="64">
        <v>553</v>
      </c>
      <c r="F142" s="64">
        <v>553</v>
      </c>
      <c r="G142" s="8" t="s">
        <v>156</v>
      </c>
      <c r="H142" s="8">
        <v>3000</v>
      </c>
      <c r="I142" s="8" t="s">
        <v>170</v>
      </c>
      <c r="J142" s="6" t="s">
        <v>89</v>
      </c>
      <c r="K142" s="8">
        <v>200</v>
      </c>
      <c r="L142" s="8">
        <v>1</v>
      </c>
      <c r="M142" s="8">
        <v>1</v>
      </c>
      <c r="N142" s="64">
        <v>1</v>
      </c>
      <c r="O142" s="8">
        <v>5</v>
      </c>
      <c r="P142" s="8">
        <v>2</v>
      </c>
      <c r="Q142" s="3"/>
      <c r="R142" s="3"/>
    </row>
    <row r="143" spans="1:18" customFormat="1" x14ac:dyDescent="0.25">
      <c r="A143" s="9">
        <v>103</v>
      </c>
      <c r="B143" s="7" t="s">
        <v>260</v>
      </c>
      <c r="C143" s="9">
        <v>176</v>
      </c>
      <c r="D143" s="9">
        <v>176</v>
      </c>
      <c r="E143" s="65">
        <v>511</v>
      </c>
      <c r="F143" s="65">
        <v>511</v>
      </c>
      <c r="G143" s="9" t="s">
        <v>156</v>
      </c>
      <c r="H143" s="9">
        <v>500</v>
      </c>
      <c r="I143" s="9" t="s">
        <v>167</v>
      </c>
      <c r="J143" s="7" t="s">
        <v>89</v>
      </c>
      <c r="K143" s="9">
        <v>500</v>
      </c>
      <c r="L143" s="9">
        <v>2</v>
      </c>
      <c r="M143" s="9"/>
      <c r="N143" s="65"/>
      <c r="O143" s="9">
        <v>4</v>
      </c>
      <c r="P143" s="9">
        <v>1</v>
      </c>
      <c r="Q143" s="3"/>
      <c r="R143" s="3"/>
    </row>
    <row r="144" spans="1:18" s="3" customFormat="1" x14ac:dyDescent="0.25">
      <c r="A144" s="59"/>
      <c r="B144" s="59"/>
      <c r="C144" s="59"/>
      <c r="D144" s="59"/>
      <c r="E144" s="62"/>
      <c r="F144" s="62"/>
      <c r="G144" s="59"/>
      <c r="H144" s="59"/>
      <c r="I144" s="59"/>
      <c r="J144" s="59"/>
      <c r="K144" s="59"/>
      <c r="L144" s="59"/>
      <c r="M144" s="59"/>
      <c r="N144" s="62"/>
      <c r="O144" s="59"/>
      <c r="P144" s="59"/>
    </row>
    <row r="145" spans="1:18" customFormat="1" x14ac:dyDescent="0.25">
      <c r="A145" s="10">
        <v>214</v>
      </c>
      <c r="B145" s="10" t="s">
        <v>171</v>
      </c>
      <c r="C145" s="10">
        <v>172</v>
      </c>
      <c r="D145" s="10">
        <v>173</v>
      </c>
      <c r="E145" s="63">
        <v>98</v>
      </c>
      <c r="F145" s="63">
        <v>98</v>
      </c>
      <c r="G145" s="10" t="s">
        <v>172</v>
      </c>
      <c r="H145" s="10">
        <v>1000</v>
      </c>
      <c r="I145" s="10" t="s">
        <v>81</v>
      </c>
      <c r="J145" s="11" t="s">
        <v>89</v>
      </c>
      <c r="K145" s="10">
        <v>500</v>
      </c>
      <c r="L145" s="10">
        <v>1</v>
      </c>
      <c r="M145" s="10">
        <v>1</v>
      </c>
      <c r="N145" s="63"/>
      <c r="O145" s="10">
        <v>5</v>
      </c>
      <c r="P145" s="10">
        <v>2</v>
      </c>
      <c r="Q145" s="5"/>
      <c r="R145" s="5"/>
    </row>
    <row r="146" spans="1:18" customFormat="1" x14ac:dyDescent="0.25">
      <c r="A146" s="8">
        <v>229</v>
      </c>
      <c r="B146" s="8" t="s">
        <v>171</v>
      </c>
      <c r="C146" s="8">
        <v>172</v>
      </c>
      <c r="D146" s="8">
        <v>172</v>
      </c>
      <c r="E146" s="64">
        <v>66</v>
      </c>
      <c r="F146" s="64">
        <v>66</v>
      </c>
      <c r="G146" s="8" t="s">
        <v>172</v>
      </c>
      <c r="H146" s="8">
        <v>2000</v>
      </c>
      <c r="I146" s="8" t="s">
        <v>173</v>
      </c>
      <c r="J146" s="8" t="s">
        <v>92</v>
      </c>
      <c r="K146" s="8">
        <v>300</v>
      </c>
      <c r="L146" s="8">
        <v>1</v>
      </c>
      <c r="M146" s="8">
        <v>1</v>
      </c>
      <c r="N146" s="64" t="s">
        <v>76</v>
      </c>
      <c r="O146" s="8">
        <v>5</v>
      </c>
      <c r="P146" s="8">
        <v>1</v>
      </c>
      <c r="Q146" s="5"/>
      <c r="R146" s="5"/>
    </row>
    <row r="147" spans="1:18" customFormat="1" x14ac:dyDescent="0.25">
      <c r="A147" s="8">
        <v>230</v>
      </c>
      <c r="B147" s="8" t="s">
        <v>171</v>
      </c>
      <c r="C147" s="8">
        <v>172</v>
      </c>
      <c r="D147" s="8">
        <v>173</v>
      </c>
      <c r="E147" s="64">
        <v>150</v>
      </c>
      <c r="F147" s="64">
        <v>150</v>
      </c>
      <c r="G147" s="8" t="s">
        <v>172</v>
      </c>
      <c r="H147" s="8">
        <v>3000</v>
      </c>
      <c r="I147" s="8" t="s">
        <v>97</v>
      </c>
      <c r="J147" s="8" t="s">
        <v>89</v>
      </c>
      <c r="K147" s="8">
        <v>750</v>
      </c>
      <c r="L147" s="8">
        <v>1</v>
      </c>
      <c r="M147" s="8">
        <v>1</v>
      </c>
      <c r="N147" s="64">
        <v>5</v>
      </c>
      <c r="O147" s="8">
        <v>4</v>
      </c>
      <c r="P147" s="8">
        <v>2</v>
      </c>
      <c r="Q147" s="5"/>
      <c r="R147" s="5"/>
    </row>
    <row r="148" spans="1:18" customFormat="1" x14ac:dyDescent="0.25">
      <c r="A148" s="8">
        <v>231</v>
      </c>
      <c r="B148" s="8" t="s">
        <v>171</v>
      </c>
      <c r="C148" s="8">
        <v>172</v>
      </c>
      <c r="D148" s="8">
        <v>172</v>
      </c>
      <c r="E148" s="64">
        <v>29</v>
      </c>
      <c r="F148" s="64">
        <v>29</v>
      </c>
      <c r="G148" s="8" t="s">
        <v>172</v>
      </c>
      <c r="H148" s="8">
        <v>2000</v>
      </c>
      <c r="I148" s="8" t="s">
        <v>79</v>
      </c>
      <c r="J148" s="8" t="s">
        <v>85</v>
      </c>
      <c r="K148" s="8">
        <v>20</v>
      </c>
      <c r="L148" s="8">
        <v>1</v>
      </c>
      <c r="M148" s="8">
        <v>1</v>
      </c>
      <c r="N148" s="64">
        <v>5</v>
      </c>
      <c r="O148" s="8">
        <v>4</v>
      </c>
      <c r="P148" s="8">
        <v>2</v>
      </c>
      <c r="Q148" s="5"/>
      <c r="R148" s="5"/>
    </row>
    <row r="149" spans="1:18" customFormat="1" x14ac:dyDescent="0.25">
      <c r="A149" s="8">
        <v>269</v>
      </c>
      <c r="B149" s="8" t="s">
        <v>174</v>
      </c>
      <c r="C149" s="8">
        <v>172</v>
      </c>
      <c r="D149" s="8">
        <v>172</v>
      </c>
      <c r="E149" s="64">
        <v>353</v>
      </c>
      <c r="F149" s="64">
        <v>353</v>
      </c>
      <c r="G149" s="8" t="s">
        <v>172</v>
      </c>
      <c r="H149" s="8"/>
      <c r="I149" s="8" t="s">
        <v>175</v>
      </c>
      <c r="J149" s="8" t="s">
        <v>85</v>
      </c>
      <c r="K149" s="8">
        <v>500</v>
      </c>
      <c r="L149" s="8">
        <v>2</v>
      </c>
      <c r="M149" s="8"/>
      <c r="N149" s="64"/>
      <c r="O149" s="8">
        <v>5</v>
      </c>
      <c r="P149" s="8">
        <v>2</v>
      </c>
      <c r="Q149" s="5"/>
      <c r="R149" s="5"/>
    </row>
    <row r="150" spans="1:18" customFormat="1" x14ac:dyDescent="0.25">
      <c r="A150" s="8">
        <v>270</v>
      </c>
      <c r="B150" s="8" t="s">
        <v>174</v>
      </c>
      <c r="C150" s="8">
        <v>172</v>
      </c>
      <c r="D150" s="8">
        <v>172</v>
      </c>
      <c r="E150" s="64">
        <v>35</v>
      </c>
      <c r="F150" s="64">
        <v>35</v>
      </c>
      <c r="G150" s="8" t="s">
        <v>172</v>
      </c>
      <c r="H150" s="8"/>
      <c r="I150" s="8" t="s">
        <v>175</v>
      </c>
      <c r="J150" s="8" t="s">
        <v>85</v>
      </c>
      <c r="K150" s="8">
        <v>500</v>
      </c>
      <c r="L150" s="8">
        <v>2</v>
      </c>
      <c r="M150" s="8"/>
      <c r="N150" s="64"/>
      <c r="O150" s="8">
        <v>3</v>
      </c>
      <c r="P150" s="8">
        <v>3</v>
      </c>
      <c r="Q150" s="5"/>
      <c r="R150" s="5"/>
    </row>
    <row r="151" spans="1:18" customFormat="1" x14ac:dyDescent="0.25">
      <c r="A151" s="8">
        <v>317</v>
      </c>
      <c r="B151" s="8" t="s">
        <v>174</v>
      </c>
      <c r="C151" s="8">
        <v>172</v>
      </c>
      <c r="D151" s="8">
        <v>172</v>
      </c>
      <c r="E151" s="64">
        <v>391</v>
      </c>
      <c r="F151" s="64">
        <v>391</v>
      </c>
      <c r="G151" s="8" t="s">
        <v>172</v>
      </c>
      <c r="H151" s="8"/>
      <c r="I151" s="8" t="s">
        <v>176</v>
      </c>
      <c r="J151" s="8" t="s">
        <v>85</v>
      </c>
      <c r="K151" s="8">
        <v>800</v>
      </c>
      <c r="L151" s="8">
        <v>2</v>
      </c>
      <c r="M151" s="8"/>
      <c r="N151" s="64"/>
      <c r="O151" s="8">
        <v>4</v>
      </c>
      <c r="P151" s="8">
        <v>1</v>
      </c>
      <c r="Q151" s="5"/>
      <c r="R151" s="5"/>
    </row>
    <row r="152" spans="1:18" customFormat="1" x14ac:dyDescent="0.25">
      <c r="A152" s="8">
        <v>318</v>
      </c>
      <c r="B152" s="8" t="s">
        <v>174</v>
      </c>
      <c r="C152" s="8">
        <v>172</v>
      </c>
      <c r="D152" s="8">
        <v>172</v>
      </c>
      <c r="E152" s="64">
        <v>362</v>
      </c>
      <c r="F152" s="64">
        <v>362</v>
      </c>
      <c r="G152" s="8" t="s">
        <v>172</v>
      </c>
      <c r="H152" s="8"/>
      <c r="I152" s="8" t="s">
        <v>157</v>
      </c>
      <c r="J152" s="8" t="s">
        <v>92</v>
      </c>
      <c r="K152" s="8">
        <v>670</v>
      </c>
      <c r="L152" s="8">
        <v>1</v>
      </c>
      <c r="M152" s="8">
        <v>1</v>
      </c>
      <c r="N152" s="64"/>
      <c r="O152" s="8">
        <v>3</v>
      </c>
      <c r="P152" s="8">
        <v>1</v>
      </c>
      <c r="Q152" s="5"/>
      <c r="R152" s="5"/>
    </row>
    <row r="153" spans="1:18" customFormat="1" x14ac:dyDescent="0.25">
      <c r="A153" s="8">
        <v>319</v>
      </c>
      <c r="B153" s="8" t="s">
        <v>171</v>
      </c>
      <c r="C153" s="8">
        <v>173</v>
      </c>
      <c r="D153" s="8">
        <v>173</v>
      </c>
      <c r="E153" s="64">
        <v>165</v>
      </c>
      <c r="F153" s="64">
        <v>165</v>
      </c>
      <c r="G153" s="8" t="s">
        <v>172</v>
      </c>
      <c r="H153" s="8"/>
      <c r="I153" s="8" t="s">
        <v>97</v>
      </c>
      <c r="J153" s="8" t="s">
        <v>89</v>
      </c>
      <c r="K153" s="8">
        <v>1500</v>
      </c>
      <c r="L153" s="8">
        <v>1</v>
      </c>
      <c r="M153" s="8">
        <v>1</v>
      </c>
      <c r="N153" s="64">
        <v>5</v>
      </c>
      <c r="O153" s="8">
        <v>3</v>
      </c>
      <c r="P153" s="8">
        <v>1</v>
      </c>
      <c r="Q153" s="5"/>
      <c r="R153" s="5"/>
    </row>
    <row r="154" spans="1:18" customFormat="1" x14ac:dyDescent="0.25">
      <c r="A154" s="9">
        <v>232</v>
      </c>
      <c r="B154" s="9" t="s">
        <v>171</v>
      </c>
      <c r="C154" s="9">
        <v>172</v>
      </c>
      <c r="D154" s="9">
        <v>172</v>
      </c>
      <c r="E154" s="65">
        <v>313</v>
      </c>
      <c r="F154" s="65">
        <v>313</v>
      </c>
      <c r="G154" s="9" t="s">
        <v>172</v>
      </c>
      <c r="H154" s="9">
        <v>1500</v>
      </c>
      <c r="I154" s="9" t="s">
        <v>75</v>
      </c>
      <c r="J154" s="9" t="s">
        <v>92</v>
      </c>
      <c r="K154" s="9">
        <v>300</v>
      </c>
      <c r="L154" s="9">
        <v>1</v>
      </c>
      <c r="M154" s="9">
        <v>1</v>
      </c>
      <c r="N154" s="65" t="s">
        <v>99</v>
      </c>
      <c r="O154" s="9">
        <v>5</v>
      </c>
      <c r="P154" s="9">
        <v>3</v>
      </c>
      <c r="Q154" s="5"/>
      <c r="R154" s="5"/>
    </row>
    <row r="155" spans="1:18" s="3" customFormat="1" x14ac:dyDescent="0.25">
      <c r="A155" s="59"/>
      <c r="B155" s="59"/>
      <c r="C155" s="59"/>
      <c r="D155" s="59"/>
      <c r="E155" s="62"/>
      <c r="F155" s="62"/>
      <c r="G155" s="59"/>
      <c r="H155" s="59"/>
      <c r="I155" s="59"/>
      <c r="J155" s="59"/>
      <c r="K155" s="59"/>
      <c r="L155" s="59"/>
      <c r="M155" s="59"/>
      <c r="N155" s="62"/>
      <c r="O155" s="59"/>
      <c r="P155" s="59"/>
    </row>
    <row r="156" spans="1:18" customFormat="1" x14ac:dyDescent="0.25">
      <c r="A156" s="10">
        <v>156</v>
      </c>
      <c r="B156" s="10" t="s">
        <v>177</v>
      </c>
      <c r="C156" s="10">
        <v>173</v>
      </c>
      <c r="D156" s="10">
        <v>173</v>
      </c>
      <c r="E156" s="63">
        <v>299</v>
      </c>
      <c r="F156" s="63">
        <v>143</v>
      </c>
      <c r="G156" s="10" t="s">
        <v>178</v>
      </c>
      <c r="H156" s="10">
        <v>100</v>
      </c>
      <c r="I156" s="10" t="s">
        <v>98</v>
      </c>
      <c r="J156" s="10" t="s">
        <v>85</v>
      </c>
      <c r="K156" s="10">
        <v>1</v>
      </c>
      <c r="L156" s="10">
        <v>2</v>
      </c>
      <c r="M156" s="10"/>
      <c r="N156" s="63"/>
      <c r="O156" s="10">
        <v>5</v>
      </c>
      <c r="P156" s="10">
        <v>1</v>
      </c>
      <c r="Q156" s="3"/>
      <c r="R156" s="3"/>
    </row>
    <row r="157" spans="1:18" customFormat="1" x14ac:dyDescent="0.25">
      <c r="A157" s="8">
        <v>151</v>
      </c>
      <c r="B157" s="8" t="s">
        <v>177</v>
      </c>
      <c r="C157" s="8">
        <v>172</v>
      </c>
      <c r="D157" s="8">
        <v>173</v>
      </c>
      <c r="E157" s="64">
        <v>121</v>
      </c>
      <c r="F157" s="64">
        <v>121</v>
      </c>
      <c r="G157" s="8" t="s">
        <v>178</v>
      </c>
      <c r="H157" s="8">
        <v>800</v>
      </c>
      <c r="I157" s="8" t="s">
        <v>103</v>
      </c>
      <c r="J157" s="8" t="s">
        <v>92</v>
      </c>
      <c r="K157" s="8">
        <v>100</v>
      </c>
      <c r="L157" s="8">
        <v>2</v>
      </c>
      <c r="M157" s="8"/>
      <c r="N157" s="64"/>
      <c r="O157" s="8">
        <v>4</v>
      </c>
      <c r="P157" s="8">
        <v>1</v>
      </c>
      <c r="Q157" s="3"/>
      <c r="R157" s="3"/>
    </row>
    <row r="158" spans="1:18" customFormat="1" x14ac:dyDescent="0.25">
      <c r="A158" s="8">
        <v>157</v>
      </c>
      <c r="B158" s="8" t="s">
        <v>177</v>
      </c>
      <c r="C158" s="8">
        <v>172</v>
      </c>
      <c r="D158" s="8">
        <v>173</v>
      </c>
      <c r="E158" s="64">
        <v>300</v>
      </c>
      <c r="F158" s="64">
        <v>142</v>
      </c>
      <c r="G158" s="8" t="s">
        <v>178</v>
      </c>
      <c r="H158" s="8">
        <v>100</v>
      </c>
      <c r="I158" s="8" t="s">
        <v>179</v>
      </c>
      <c r="J158" s="8" t="s">
        <v>85</v>
      </c>
      <c r="K158" s="8">
        <v>100</v>
      </c>
      <c r="L158" s="8">
        <v>2</v>
      </c>
      <c r="M158" s="8"/>
      <c r="N158" s="64"/>
      <c r="O158" s="8">
        <v>2</v>
      </c>
      <c r="P158" s="8">
        <v>2</v>
      </c>
      <c r="Q158" s="3"/>
      <c r="R158" s="3"/>
    </row>
    <row r="159" spans="1:18" customFormat="1" x14ac:dyDescent="0.25">
      <c r="A159" s="8">
        <v>50</v>
      </c>
      <c r="B159" s="8" t="s">
        <v>177</v>
      </c>
      <c r="C159" s="8">
        <v>172</v>
      </c>
      <c r="D159" s="8">
        <v>172</v>
      </c>
      <c r="E159" s="64">
        <v>297</v>
      </c>
      <c r="F159" s="64">
        <v>297</v>
      </c>
      <c r="G159" s="8" t="s">
        <v>178</v>
      </c>
      <c r="H159" s="8">
        <v>1500</v>
      </c>
      <c r="I159" s="8" t="s">
        <v>179</v>
      </c>
      <c r="J159" s="8" t="s">
        <v>85</v>
      </c>
      <c r="K159" s="8">
        <v>500</v>
      </c>
      <c r="L159" s="8">
        <v>1</v>
      </c>
      <c r="M159" s="8">
        <v>1</v>
      </c>
      <c r="N159" s="64">
        <v>2</v>
      </c>
      <c r="O159" s="8">
        <v>3</v>
      </c>
      <c r="P159" s="8">
        <v>1</v>
      </c>
      <c r="Q159" s="3"/>
      <c r="R159" s="3"/>
    </row>
    <row r="160" spans="1:18" customFormat="1" x14ac:dyDescent="0.25">
      <c r="A160" s="8">
        <v>49</v>
      </c>
      <c r="B160" s="8" t="s">
        <v>177</v>
      </c>
      <c r="C160" s="8">
        <v>172</v>
      </c>
      <c r="D160" s="8">
        <v>172</v>
      </c>
      <c r="E160" s="64" t="s">
        <v>180</v>
      </c>
      <c r="F160" s="64" t="s">
        <v>180</v>
      </c>
      <c r="G160" s="8" t="s">
        <v>178</v>
      </c>
      <c r="H160" s="8">
        <v>800</v>
      </c>
      <c r="I160" s="8" t="s">
        <v>181</v>
      </c>
      <c r="J160" s="8" t="s">
        <v>85</v>
      </c>
      <c r="K160" s="8">
        <v>200</v>
      </c>
      <c r="L160" s="8">
        <v>1</v>
      </c>
      <c r="M160" s="8">
        <v>2</v>
      </c>
      <c r="N160" s="64" t="s">
        <v>140</v>
      </c>
      <c r="O160" s="8">
        <v>4</v>
      </c>
      <c r="P160" s="8">
        <v>2</v>
      </c>
      <c r="Q160" s="3"/>
      <c r="R160" s="3"/>
    </row>
    <row r="161" spans="1:18" customFormat="1" x14ac:dyDescent="0.25">
      <c r="A161" s="8">
        <v>44</v>
      </c>
      <c r="B161" s="8" t="s">
        <v>177</v>
      </c>
      <c r="C161" s="8">
        <v>173</v>
      </c>
      <c r="D161" s="8">
        <v>173</v>
      </c>
      <c r="E161" s="64">
        <v>294</v>
      </c>
      <c r="F161" s="64">
        <v>126</v>
      </c>
      <c r="G161" s="8" t="s">
        <v>178</v>
      </c>
      <c r="H161" s="8">
        <v>1500</v>
      </c>
      <c r="I161" s="8" t="s">
        <v>182</v>
      </c>
      <c r="J161" s="8" t="s">
        <v>89</v>
      </c>
      <c r="K161" s="8">
        <v>700</v>
      </c>
      <c r="L161" s="8">
        <v>1</v>
      </c>
      <c r="M161" s="8">
        <v>1</v>
      </c>
      <c r="N161" s="64" t="s">
        <v>140</v>
      </c>
      <c r="O161" s="8">
        <v>4</v>
      </c>
      <c r="P161" s="8">
        <v>4</v>
      </c>
      <c r="Q161" s="3"/>
      <c r="R161" s="3"/>
    </row>
    <row r="162" spans="1:18" customFormat="1" x14ac:dyDescent="0.25">
      <c r="A162" s="8">
        <v>45</v>
      </c>
      <c r="B162" s="8" t="s">
        <v>177</v>
      </c>
      <c r="C162" s="8">
        <v>172</v>
      </c>
      <c r="D162" s="8">
        <v>173</v>
      </c>
      <c r="E162" s="64" t="s">
        <v>90</v>
      </c>
      <c r="F162" s="64">
        <v>110</v>
      </c>
      <c r="G162" s="8" t="s">
        <v>178</v>
      </c>
      <c r="H162" s="8">
        <v>1000</v>
      </c>
      <c r="I162" s="8" t="s">
        <v>183</v>
      </c>
      <c r="J162" s="8" t="s">
        <v>92</v>
      </c>
      <c r="K162" s="8">
        <v>500</v>
      </c>
      <c r="L162" s="8">
        <v>2</v>
      </c>
      <c r="M162" s="8"/>
      <c r="N162" s="64"/>
      <c r="O162" s="8">
        <v>5</v>
      </c>
      <c r="P162" s="8">
        <v>1</v>
      </c>
      <c r="Q162" s="3"/>
      <c r="R162" s="3"/>
    </row>
    <row r="163" spans="1:18" customFormat="1" x14ac:dyDescent="0.25">
      <c r="A163" s="8">
        <v>46</v>
      </c>
      <c r="B163" s="8" t="s">
        <v>177</v>
      </c>
      <c r="C163" s="8">
        <v>172</v>
      </c>
      <c r="D163" s="8">
        <v>173</v>
      </c>
      <c r="E163" s="64">
        <v>120</v>
      </c>
      <c r="F163" s="64">
        <v>120</v>
      </c>
      <c r="G163" s="8" t="s">
        <v>178</v>
      </c>
      <c r="H163" s="8">
        <v>750</v>
      </c>
      <c r="I163" s="8" t="s">
        <v>103</v>
      </c>
      <c r="J163" s="8" t="s">
        <v>92</v>
      </c>
      <c r="K163" s="8">
        <v>150</v>
      </c>
      <c r="L163" s="8">
        <v>1</v>
      </c>
      <c r="M163" s="8">
        <v>1</v>
      </c>
      <c r="N163" s="64">
        <v>2</v>
      </c>
      <c r="O163" s="8">
        <v>5</v>
      </c>
      <c r="P163" s="8">
        <v>1</v>
      </c>
      <c r="Q163" s="3"/>
      <c r="R163" s="3"/>
    </row>
    <row r="164" spans="1:18" customFormat="1" x14ac:dyDescent="0.25">
      <c r="A164" s="8">
        <v>48</v>
      </c>
      <c r="B164" s="8" t="s">
        <v>177</v>
      </c>
      <c r="C164" s="8">
        <v>172</v>
      </c>
      <c r="D164" s="8">
        <v>173</v>
      </c>
      <c r="E164" s="64" t="s">
        <v>184</v>
      </c>
      <c r="F164" s="64" t="s">
        <v>185</v>
      </c>
      <c r="G164" s="8" t="s">
        <v>178</v>
      </c>
      <c r="H164" s="8">
        <v>1000</v>
      </c>
      <c r="I164" s="8" t="s">
        <v>182</v>
      </c>
      <c r="J164" s="8" t="s">
        <v>89</v>
      </c>
      <c r="K164" s="8">
        <v>500</v>
      </c>
      <c r="L164" s="8">
        <v>2</v>
      </c>
      <c r="M164" s="8"/>
      <c r="N164" s="64"/>
      <c r="O164" s="8">
        <v>7</v>
      </c>
      <c r="P164" s="8">
        <v>2</v>
      </c>
      <c r="Q164" s="3"/>
      <c r="R164" s="3"/>
    </row>
    <row r="165" spans="1:18" customFormat="1" x14ac:dyDescent="0.25">
      <c r="A165" s="8">
        <v>47</v>
      </c>
      <c r="B165" s="8" t="s">
        <v>177</v>
      </c>
      <c r="C165" s="8">
        <v>172</v>
      </c>
      <c r="D165" s="8">
        <v>173</v>
      </c>
      <c r="E165" s="64">
        <v>119</v>
      </c>
      <c r="F165" s="64">
        <v>119</v>
      </c>
      <c r="G165" s="8" t="s">
        <v>178</v>
      </c>
      <c r="H165" s="8">
        <v>800</v>
      </c>
      <c r="I165" s="8" t="s">
        <v>103</v>
      </c>
      <c r="J165" s="8" t="s">
        <v>92</v>
      </c>
      <c r="K165" s="8">
        <v>100</v>
      </c>
      <c r="L165" s="8">
        <v>2</v>
      </c>
      <c r="M165" s="8"/>
      <c r="N165" s="64"/>
      <c r="O165" s="8">
        <v>5</v>
      </c>
      <c r="P165" s="8">
        <v>1</v>
      </c>
      <c r="Q165" s="3"/>
      <c r="R165" s="3"/>
    </row>
    <row r="166" spans="1:18" customFormat="1" x14ac:dyDescent="0.25">
      <c r="A166" s="8">
        <v>149</v>
      </c>
      <c r="B166" s="8" t="s">
        <v>177</v>
      </c>
      <c r="C166" s="8">
        <v>173</v>
      </c>
      <c r="D166" s="8">
        <v>173</v>
      </c>
      <c r="E166" s="64">
        <v>296</v>
      </c>
      <c r="F166" s="64">
        <v>128</v>
      </c>
      <c r="G166" s="8" t="s">
        <v>178</v>
      </c>
      <c r="H166" s="8">
        <v>1500</v>
      </c>
      <c r="I166" s="8" t="s">
        <v>182</v>
      </c>
      <c r="J166" s="8" t="s">
        <v>89</v>
      </c>
      <c r="K166" s="8">
        <v>800</v>
      </c>
      <c r="L166" s="8">
        <v>2</v>
      </c>
      <c r="M166" s="8"/>
      <c r="N166" s="64"/>
      <c r="O166" s="8">
        <v>5</v>
      </c>
      <c r="P166" s="8">
        <v>1</v>
      </c>
      <c r="Q166" s="3"/>
      <c r="R166" s="3"/>
    </row>
    <row r="167" spans="1:18" customFormat="1" x14ac:dyDescent="0.25">
      <c r="A167" s="8">
        <v>150</v>
      </c>
      <c r="B167" s="8" t="s">
        <v>177</v>
      </c>
      <c r="C167" s="8">
        <v>172</v>
      </c>
      <c r="D167" s="8">
        <v>173</v>
      </c>
      <c r="E167" s="64" t="s">
        <v>186</v>
      </c>
      <c r="F167" s="64">
        <v>125</v>
      </c>
      <c r="G167" s="8" t="s">
        <v>178</v>
      </c>
      <c r="H167" s="8">
        <v>1500</v>
      </c>
      <c r="I167" s="8" t="s">
        <v>105</v>
      </c>
      <c r="J167" s="8" t="s">
        <v>89</v>
      </c>
      <c r="K167" s="8">
        <v>100</v>
      </c>
      <c r="L167" s="8">
        <v>1</v>
      </c>
      <c r="M167" s="8">
        <v>1</v>
      </c>
      <c r="N167" s="64">
        <v>4</v>
      </c>
      <c r="O167" s="8">
        <v>4</v>
      </c>
      <c r="P167" s="8">
        <v>2</v>
      </c>
      <c r="Q167" s="3"/>
      <c r="R167" s="3"/>
    </row>
    <row r="168" spans="1:18" customFormat="1" x14ac:dyDescent="0.25">
      <c r="A168" s="8">
        <v>153</v>
      </c>
      <c r="B168" s="8" t="s">
        <v>177</v>
      </c>
      <c r="C168" s="8">
        <v>172</v>
      </c>
      <c r="D168" s="8">
        <v>173</v>
      </c>
      <c r="E168" s="64" t="s">
        <v>187</v>
      </c>
      <c r="F168" s="64">
        <v>120</v>
      </c>
      <c r="G168" s="8" t="s">
        <v>178</v>
      </c>
      <c r="H168" s="8">
        <v>800</v>
      </c>
      <c r="I168" s="8" t="s">
        <v>103</v>
      </c>
      <c r="J168" s="8" t="s">
        <v>92</v>
      </c>
      <c r="K168" s="8">
        <v>100</v>
      </c>
      <c r="L168" s="8">
        <v>1</v>
      </c>
      <c r="M168" s="8">
        <v>1</v>
      </c>
      <c r="N168" s="64">
        <v>5</v>
      </c>
      <c r="O168" s="8">
        <v>4</v>
      </c>
      <c r="P168" s="8">
        <v>1</v>
      </c>
      <c r="Q168" s="3"/>
      <c r="R168" s="3"/>
    </row>
    <row r="169" spans="1:18" customFormat="1" x14ac:dyDescent="0.25">
      <c r="A169" s="8">
        <v>152</v>
      </c>
      <c r="B169" s="8" t="s">
        <v>177</v>
      </c>
      <c r="C169" s="8">
        <v>172</v>
      </c>
      <c r="D169" s="8">
        <v>173</v>
      </c>
      <c r="E169" s="64">
        <v>117</v>
      </c>
      <c r="F169" s="64">
        <v>117</v>
      </c>
      <c r="G169" s="8" t="s">
        <v>178</v>
      </c>
      <c r="H169" s="8">
        <v>1000</v>
      </c>
      <c r="I169" s="8" t="s">
        <v>182</v>
      </c>
      <c r="J169" s="8" t="s">
        <v>89</v>
      </c>
      <c r="K169" s="8">
        <v>100</v>
      </c>
      <c r="L169" s="8">
        <v>2</v>
      </c>
      <c r="M169" s="8"/>
      <c r="N169" s="64"/>
      <c r="O169" s="8">
        <v>5</v>
      </c>
      <c r="P169" s="8">
        <v>1</v>
      </c>
      <c r="Q169" s="3"/>
      <c r="R169" s="3"/>
    </row>
    <row r="170" spans="1:18" customFormat="1" x14ac:dyDescent="0.25">
      <c r="A170" s="8">
        <v>155</v>
      </c>
      <c r="B170" s="8" t="s">
        <v>177</v>
      </c>
      <c r="C170" s="8">
        <v>172</v>
      </c>
      <c r="D170" s="8">
        <v>173</v>
      </c>
      <c r="E170" s="64">
        <v>112</v>
      </c>
      <c r="F170" s="64">
        <v>112</v>
      </c>
      <c r="G170" s="8" t="s">
        <v>178</v>
      </c>
      <c r="H170" s="8">
        <v>250</v>
      </c>
      <c r="I170" s="8" t="s">
        <v>181</v>
      </c>
      <c r="J170" s="8" t="s">
        <v>85</v>
      </c>
      <c r="K170" s="8">
        <v>1</v>
      </c>
      <c r="L170" s="8">
        <v>1</v>
      </c>
      <c r="M170" s="8">
        <v>1</v>
      </c>
      <c r="N170" s="64">
        <v>5</v>
      </c>
      <c r="O170" s="8">
        <v>5</v>
      </c>
      <c r="P170" s="8">
        <v>2</v>
      </c>
      <c r="Q170" s="3"/>
      <c r="R170" s="3"/>
    </row>
    <row r="171" spans="1:18" customFormat="1" x14ac:dyDescent="0.25">
      <c r="A171" s="9">
        <v>154</v>
      </c>
      <c r="B171" s="9" t="s">
        <v>177</v>
      </c>
      <c r="C171" s="9">
        <v>172</v>
      </c>
      <c r="D171" s="9">
        <v>173</v>
      </c>
      <c r="E171" s="65" t="s">
        <v>188</v>
      </c>
      <c r="F171" s="65">
        <v>111</v>
      </c>
      <c r="G171" s="9" t="s">
        <v>178</v>
      </c>
      <c r="H171" s="9">
        <v>1000</v>
      </c>
      <c r="I171" s="9" t="s">
        <v>181</v>
      </c>
      <c r="J171" s="9" t="s">
        <v>85</v>
      </c>
      <c r="K171" s="9">
        <v>1</v>
      </c>
      <c r="L171" s="9">
        <v>2</v>
      </c>
      <c r="M171" s="9"/>
      <c r="N171" s="65"/>
      <c r="O171" s="9">
        <v>4</v>
      </c>
      <c r="P171" s="9">
        <v>3</v>
      </c>
      <c r="Q171" s="3"/>
      <c r="R171" s="3"/>
    </row>
    <row r="172" spans="1:18" s="3" customFormat="1" x14ac:dyDescent="0.25">
      <c r="A172" s="59"/>
      <c r="B172" s="59"/>
      <c r="C172" s="59"/>
      <c r="D172" s="59"/>
      <c r="E172" s="62"/>
      <c r="F172" s="62"/>
      <c r="G172" s="59"/>
      <c r="H172" s="59"/>
      <c r="I172" s="59"/>
      <c r="J172" s="59"/>
      <c r="K172" s="59"/>
      <c r="L172" s="59"/>
      <c r="M172" s="59"/>
      <c r="N172" s="62"/>
      <c r="O172" s="59"/>
      <c r="P172" s="59"/>
    </row>
    <row r="173" spans="1:18" customFormat="1" x14ac:dyDescent="0.25">
      <c r="A173" s="10">
        <v>163</v>
      </c>
      <c r="B173" s="10" t="s">
        <v>189</v>
      </c>
      <c r="C173" s="10">
        <v>173</v>
      </c>
      <c r="D173" s="10">
        <v>173</v>
      </c>
      <c r="E173" s="63">
        <v>207</v>
      </c>
      <c r="F173" s="63">
        <v>207</v>
      </c>
      <c r="G173" s="10" t="s">
        <v>190</v>
      </c>
      <c r="H173" s="10">
        <v>1000</v>
      </c>
      <c r="I173" s="10" t="s">
        <v>101</v>
      </c>
      <c r="J173" s="10" t="s">
        <v>92</v>
      </c>
      <c r="K173" s="10">
        <v>300</v>
      </c>
      <c r="L173" s="10">
        <v>2</v>
      </c>
      <c r="M173" s="10"/>
      <c r="N173" s="63"/>
      <c r="O173" s="10">
        <v>4</v>
      </c>
      <c r="P173" s="10">
        <v>1</v>
      </c>
      <c r="Q173" s="3"/>
      <c r="R173" s="3"/>
    </row>
    <row r="174" spans="1:18" customFormat="1" x14ac:dyDescent="0.25">
      <c r="A174" s="8">
        <v>164</v>
      </c>
      <c r="B174" s="8" t="s">
        <v>189</v>
      </c>
      <c r="C174" s="8">
        <v>173</v>
      </c>
      <c r="D174" s="8">
        <v>173</v>
      </c>
      <c r="E174" s="64">
        <v>225</v>
      </c>
      <c r="F174" s="64">
        <v>225</v>
      </c>
      <c r="G174" s="8" t="s">
        <v>190</v>
      </c>
      <c r="H174" s="8">
        <v>2000</v>
      </c>
      <c r="I174" s="8" t="s">
        <v>119</v>
      </c>
      <c r="J174" s="8" t="s">
        <v>89</v>
      </c>
      <c r="K174" s="8">
        <v>500</v>
      </c>
      <c r="L174" s="8">
        <v>1</v>
      </c>
      <c r="M174" s="8">
        <v>1</v>
      </c>
      <c r="N174" s="64">
        <v>5</v>
      </c>
      <c r="O174" s="8">
        <v>5</v>
      </c>
      <c r="P174" s="8">
        <v>2</v>
      </c>
      <c r="Q174" s="3"/>
      <c r="R174" s="3"/>
    </row>
    <row r="175" spans="1:18" customFormat="1" x14ac:dyDescent="0.25">
      <c r="A175" s="8">
        <v>165</v>
      </c>
      <c r="B175" s="8" t="s">
        <v>189</v>
      </c>
      <c r="C175" s="8">
        <v>173</v>
      </c>
      <c r="D175" s="8">
        <v>173</v>
      </c>
      <c r="E175" s="64">
        <v>220</v>
      </c>
      <c r="F175" s="64">
        <v>200</v>
      </c>
      <c r="G175" s="8" t="s">
        <v>190</v>
      </c>
      <c r="H175" s="8">
        <v>1500</v>
      </c>
      <c r="I175" s="8" t="s">
        <v>191</v>
      </c>
      <c r="J175" s="8" t="s">
        <v>92</v>
      </c>
      <c r="K175" s="8">
        <v>250</v>
      </c>
      <c r="L175" s="8">
        <v>2</v>
      </c>
      <c r="M175" s="8"/>
      <c r="N175" s="64"/>
      <c r="O175" s="8">
        <v>4</v>
      </c>
      <c r="P175" s="8">
        <v>1</v>
      </c>
      <c r="Q175" s="3"/>
      <c r="R175" s="3"/>
    </row>
    <row r="176" spans="1:18" customFormat="1" x14ac:dyDescent="0.25">
      <c r="A176" s="8">
        <v>56</v>
      </c>
      <c r="B176" s="8" t="s">
        <v>189</v>
      </c>
      <c r="C176" s="8">
        <v>173</v>
      </c>
      <c r="D176" s="8">
        <v>173</v>
      </c>
      <c r="E176" s="64" t="s">
        <v>192</v>
      </c>
      <c r="F176" s="64" t="s">
        <v>192</v>
      </c>
      <c r="G176" s="8" t="s">
        <v>190</v>
      </c>
      <c r="H176" s="8">
        <v>65</v>
      </c>
      <c r="I176" s="8" t="s">
        <v>102</v>
      </c>
      <c r="J176" s="8" t="s">
        <v>85</v>
      </c>
      <c r="K176" s="8">
        <v>30</v>
      </c>
      <c r="L176" s="8">
        <v>2</v>
      </c>
      <c r="M176" s="8"/>
      <c r="N176" s="64"/>
      <c r="O176" s="8">
        <v>6</v>
      </c>
      <c r="P176" s="8">
        <v>2</v>
      </c>
      <c r="Q176" s="3"/>
      <c r="R176" s="3"/>
    </row>
    <row r="177" spans="1:18" customFormat="1" x14ac:dyDescent="0.25">
      <c r="A177" s="8">
        <v>58</v>
      </c>
      <c r="B177" s="8" t="s">
        <v>189</v>
      </c>
      <c r="C177" s="8">
        <v>173</v>
      </c>
      <c r="D177" s="8">
        <v>173</v>
      </c>
      <c r="E177" s="64">
        <v>198</v>
      </c>
      <c r="F177" s="64">
        <v>205</v>
      </c>
      <c r="G177" s="8" t="s">
        <v>190</v>
      </c>
      <c r="H177" s="8">
        <v>200</v>
      </c>
      <c r="I177" s="8" t="s">
        <v>101</v>
      </c>
      <c r="J177" s="8" t="s">
        <v>92</v>
      </c>
      <c r="K177" s="8">
        <v>10</v>
      </c>
      <c r="L177" s="8">
        <v>1</v>
      </c>
      <c r="M177" s="8">
        <v>1</v>
      </c>
      <c r="N177" s="64">
        <v>5</v>
      </c>
      <c r="O177" s="8">
        <v>4</v>
      </c>
      <c r="P177" s="8">
        <v>2</v>
      </c>
      <c r="Q177" s="3"/>
      <c r="R177" s="3"/>
    </row>
    <row r="178" spans="1:18" customFormat="1" x14ac:dyDescent="0.25">
      <c r="A178" s="8">
        <v>59</v>
      </c>
      <c r="B178" s="8" t="s">
        <v>189</v>
      </c>
      <c r="C178" s="8">
        <v>173</v>
      </c>
      <c r="D178" s="8">
        <v>173</v>
      </c>
      <c r="E178" s="64" t="s">
        <v>193</v>
      </c>
      <c r="F178" s="64" t="s">
        <v>193</v>
      </c>
      <c r="G178" s="8" t="s">
        <v>190</v>
      </c>
      <c r="H178" s="8">
        <v>1000</v>
      </c>
      <c r="I178" s="8" t="s">
        <v>119</v>
      </c>
      <c r="J178" s="8" t="s">
        <v>89</v>
      </c>
      <c r="K178" s="8">
        <v>5</v>
      </c>
      <c r="L178" s="8">
        <v>2</v>
      </c>
      <c r="M178" s="8"/>
      <c r="N178" s="64"/>
      <c r="O178" s="8">
        <v>2</v>
      </c>
      <c r="P178" s="8">
        <v>1</v>
      </c>
      <c r="Q178" s="3"/>
      <c r="R178" s="3"/>
    </row>
    <row r="179" spans="1:18" customFormat="1" x14ac:dyDescent="0.25">
      <c r="A179" s="8">
        <v>60</v>
      </c>
      <c r="B179" s="8" t="s">
        <v>189</v>
      </c>
      <c r="C179" s="8">
        <v>173</v>
      </c>
      <c r="D179" s="8">
        <v>173</v>
      </c>
      <c r="E179" s="64">
        <v>230</v>
      </c>
      <c r="F179" s="64">
        <v>230</v>
      </c>
      <c r="G179" s="8" t="s">
        <v>190</v>
      </c>
      <c r="H179" s="8">
        <v>1000</v>
      </c>
      <c r="I179" s="8" t="s">
        <v>119</v>
      </c>
      <c r="J179" s="8" t="s">
        <v>89</v>
      </c>
      <c r="K179" s="8">
        <v>30</v>
      </c>
      <c r="L179" s="8">
        <v>2</v>
      </c>
      <c r="M179" s="8"/>
      <c r="N179" s="64"/>
      <c r="O179" s="8">
        <v>3</v>
      </c>
      <c r="P179" s="8">
        <v>1</v>
      </c>
      <c r="Q179" s="3"/>
      <c r="R179" s="3"/>
    </row>
    <row r="180" spans="1:18" customFormat="1" x14ac:dyDescent="0.25">
      <c r="A180" s="8">
        <v>61</v>
      </c>
      <c r="B180" s="8" t="s">
        <v>189</v>
      </c>
      <c r="C180" s="8">
        <v>173</v>
      </c>
      <c r="D180" s="8">
        <v>173</v>
      </c>
      <c r="E180" s="64">
        <v>237</v>
      </c>
      <c r="F180" s="64">
        <v>237</v>
      </c>
      <c r="G180" s="8" t="s">
        <v>190</v>
      </c>
      <c r="H180" s="8">
        <v>1000</v>
      </c>
      <c r="I180" s="8" t="s">
        <v>119</v>
      </c>
      <c r="J180" s="8" t="s">
        <v>89</v>
      </c>
      <c r="K180" s="8">
        <v>10</v>
      </c>
      <c r="L180" s="8">
        <v>1</v>
      </c>
      <c r="M180" s="8">
        <v>1</v>
      </c>
      <c r="N180" s="64">
        <v>2</v>
      </c>
      <c r="O180" s="8">
        <v>3</v>
      </c>
      <c r="P180" s="8">
        <v>1</v>
      </c>
      <c r="Q180" s="3"/>
      <c r="R180" s="3"/>
    </row>
    <row r="181" spans="1:18" customFormat="1" x14ac:dyDescent="0.25">
      <c r="A181" s="8">
        <v>62</v>
      </c>
      <c r="B181" s="8" t="s">
        <v>189</v>
      </c>
      <c r="C181" s="8">
        <v>173</v>
      </c>
      <c r="D181" s="8">
        <v>173</v>
      </c>
      <c r="E181" s="64">
        <v>236</v>
      </c>
      <c r="F181" s="64">
        <v>236</v>
      </c>
      <c r="G181" s="8" t="s">
        <v>190</v>
      </c>
      <c r="H181" s="8">
        <v>1250</v>
      </c>
      <c r="I181" s="8" t="s">
        <v>119</v>
      </c>
      <c r="J181" s="8" t="s">
        <v>89</v>
      </c>
      <c r="K181" s="8">
        <v>5</v>
      </c>
      <c r="L181" s="8">
        <v>2</v>
      </c>
      <c r="M181" s="8"/>
      <c r="N181" s="64"/>
      <c r="O181" s="8">
        <v>5</v>
      </c>
      <c r="P181" s="8">
        <v>2</v>
      </c>
      <c r="Q181" s="3"/>
      <c r="R181" s="3"/>
    </row>
    <row r="182" spans="1:18" customFormat="1" x14ac:dyDescent="0.25">
      <c r="A182" s="8">
        <v>63</v>
      </c>
      <c r="B182" s="8" t="s">
        <v>189</v>
      </c>
      <c r="C182" s="8">
        <v>173</v>
      </c>
      <c r="D182" s="8">
        <v>173</v>
      </c>
      <c r="E182" s="64" t="s">
        <v>194</v>
      </c>
      <c r="F182" s="64" t="s">
        <v>194</v>
      </c>
      <c r="G182" s="8" t="s">
        <v>190</v>
      </c>
      <c r="H182" s="8">
        <v>50</v>
      </c>
      <c r="I182" s="8" t="s">
        <v>119</v>
      </c>
      <c r="J182" s="8" t="s">
        <v>89</v>
      </c>
      <c r="K182" s="8">
        <v>5</v>
      </c>
      <c r="L182" s="8">
        <v>1</v>
      </c>
      <c r="M182" s="8">
        <v>1</v>
      </c>
      <c r="N182" s="64">
        <v>4</v>
      </c>
      <c r="O182" s="8">
        <v>2</v>
      </c>
      <c r="P182" s="8">
        <v>1</v>
      </c>
      <c r="Q182" s="3"/>
      <c r="R182" s="3"/>
    </row>
    <row r="183" spans="1:18" customFormat="1" x14ac:dyDescent="0.25">
      <c r="A183" s="8">
        <v>65</v>
      </c>
      <c r="B183" s="8" t="s">
        <v>189</v>
      </c>
      <c r="C183" s="8">
        <v>173</v>
      </c>
      <c r="D183" s="8">
        <v>173</v>
      </c>
      <c r="E183" s="64">
        <v>263</v>
      </c>
      <c r="F183" s="64">
        <v>263</v>
      </c>
      <c r="G183" s="8" t="s">
        <v>190</v>
      </c>
      <c r="H183" s="8">
        <v>1500</v>
      </c>
      <c r="I183" s="8" t="s">
        <v>88</v>
      </c>
      <c r="J183" s="8" t="s">
        <v>92</v>
      </c>
      <c r="K183" s="8">
        <v>500</v>
      </c>
      <c r="L183" s="8">
        <v>1</v>
      </c>
      <c r="M183" s="8">
        <v>1</v>
      </c>
      <c r="N183" s="64">
        <v>2</v>
      </c>
      <c r="O183" s="8">
        <v>4</v>
      </c>
      <c r="P183" s="8">
        <v>3</v>
      </c>
      <c r="Q183" s="3"/>
      <c r="R183" s="3"/>
    </row>
    <row r="184" spans="1:18" customFormat="1" x14ac:dyDescent="0.25">
      <c r="A184" s="8">
        <v>162</v>
      </c>
      <c r="B184" s="8" t="s">
        <v>189</v>
      </c>
      <c r="C184" s="8">
        <v>173</v>
      </c>
      <c r="D184" s="8">
        <v>173</v>
      </c>
      <c r="E184" s="64">
        <v>186</v>
      </c>
      <c r="F184" s="64">
        <v>186</v>
      </c>
      <c r="G184" s="8" t="s">
        <v>190</v>
      </c>
      <c r="H184" s="8">
        <v>800</v>
      </c>
      <c r="I184" s="8" t="s">
        <v>94</v>
      </c>
      <c r="J184" s="8" t="s">
        <v>85</v>
      </c>
      <c r="K184" s="8">
        <v>300</v>
      </c>
      <c r="L184" s="8">
        <v>1</v>
      </c>
      <c r="M184" s="8">
        <v>2</v>
      </c>
      <c r="N184" s="64" t="s">
        <v>76</v>
      </c>
      <c r="O184" s="8">
        <v>5</v>
      </c>
      <c r="P184" s="8">
        <v>2</v>
      </c>
      <c r="Q184" s="3"/>
      <c r="R184" s="3"/>
    </row>
    <row r="185" spans="1:18" customFormat="1" x14ac:dyDescent="0.25">
      <c r="A185" s="8">
        <v>158</v>
      </c>
      <c r="B185" s="8" t="s">
        <v>189</v>
      </c>
      <c r="C185" s="8">
        <v>173</v>
      </c>
      <c r="D185" s="8">
        <v>173</v>
      </c>
      <c r="E185" s="64">
        <v>242</v>
      </c>
      <c r="F185" s="64">
        <v>242</v>
      </c>
      <c r="G185" s="8" t="s">
        <v>190</v>
      </c>
      <c r="H185" s="8">
        <v>2000</v>
      </c>
      <c r="I185" s="8" t="s">
        <v>119</v>
      </c>
      <c r="J185" s="8" t="s">
        <v>89</v>
      </c>
      <c r="K185" s="8">
        <v>800</v>
      </c>
      <c r="L185" s="8">
        <v>1</v>
      </c>
      <c r="M185" s="8">
        <v>1</v>
      </c>
      <c r="N185" s="64">
        <v>5</v>
      </c>
      <c r="O185" s="8">
        <v>5</v>
      </c>
      <c r="P185" s="8">
        <v>1</v>
      </c>
      <c r="Q185" s="3"/>
      <c r="R185" s="3"/>
    </row>
    <row r="186" spans="1:18" customFormat="1" x14ac:dyDescent="0.25">
      <c r="A186" s="8">
        <v>159</v>
      </c>
      <c r="B186" s="8" t="s">
        <v>189</v>
      </c>
      <c r="C186" s="8">
        <v>173</v>
      </c>
      <c r="D186" s="8">
        <v>173</v>
      </c>
      <c r="E186" s="64">
        <v>194</v>
      </c>
      <c r="F186" s="64">
        <v>194</v>
      </c>
      <c r="G186" s="8" t="s">
        <v>190</v>
      </c>
      <c r="H186" s="8">
        <v>1000</v>
      </c>
      <c r="I186" s="8" t="s">
        <v>94</v>
      </c>
      <c r="J186" s="8" t="s">
        <v>85</v>
      </c>
      <c r="K186" s="8">
        <v>1</v>
      </c>
      <c r="L186" s="8">
        <v>1</v>
      </c>
      <c r="M186" s="8">
        <v>1</v>
      </c>
      <c r="N186" s="64">
        <v>4</v>
      </c>
      <c r="O186" s="8">
        <v>6</v>
      </c>
      <c r="P186" s="8">
        <v>1</v>
      </c>
      <c r="Q186" s="3"/>
      <c r="R186" s="3"/>
    </row>
    <row r="187" spans="1:18" customFormat="1" x14ac:dyDescent="0.25">
      <c r="A187" s="8">
        <v>160</v>
      </c>
      <c r="B187" s="8" t="s">
        <v>189</v>
      </c>
      <c r="C187" s="8">
        <v>173</v>
      </c>
      <c r="D187" s="8">
        <v>173</v>
      </c>
      <c r="E187" s="64">
        <v>190</v>
      </c>
      <c r="F187" s="64">
        <v>190</v>
      </c>
      <c r="G187" s="8" t="s">
        <v>190</v>
      </c>
      <c r="H187" s="8">
        <v>500</v>
      </c>
      <c r="I187" s="8" t="s">
        <v>94</v>
      </c>
      <c r="J187" s="8" t="s">
        <v>85</v>
      </c>
      <c r="K187" s="8">
        <v>500</v>
      </c>
      <c r="L187" s="8">
        <v>2</v>
      </c>
      <c r="M187" s="8"/>
      <c r="N187" s="64"/>
      <c r="O187" s="8">
        <v>4</v>
      </c>
      <c r="P187" s="8">
        <v>2</v>
      </c>
      <c r="Q187" s="3"/>
      <c r="R187" s="3"/>
    </row>
    <row r="188" spans="1:18" customFormat="1" x14ac:dyDescent="0.25">
      <c r="A188" s="8">
        <v>161</v>
      </c>
      <c r="B188" s="8" t="s">
        <v>189</v>
      </c>
      <c r="C188" s="8">
        <v>173</v>
      </c>
      <c r="D188" s="8">
        <v>173</v>
      </c>
      <c r="E188" s="64">
        <v>181</v>
      </c>
      <c r="F188" s="64">
        <v>181</v>
      </c>
      <c r="G188" s="8" t="s">
        <v>190</v>
      </c>
      <c r="H188" s="8">
        <v>700</v>
      </c>
      <c r="I188" s="8" t="s">
        <v>95</v>
      </c>
      <c r="J188" s="8" t="s">
        <v>85</v>
      </c>
      <c r="K188" s="8">
        <v>300</v>
      </c>
      <c r="L188" s="8">
        <v>1</v>
      </c>
      <c r="M188" s="8">
        <v>1</v>
      </c>
      <c r="N188" s="64" t="s">
        <v>76</v>
      </c>
      <c r="O188" s="8">
        <v>7</v>
      </c>
      <c r="P188" s="8">
        <v>2</v>
      </c>
      <c r="Q188" s="3"/>
      <c r="R188" s="3"/>
    </row>
    <row r="189" spans="1:18" customFormat="1" x14ac:dyDescent="0.25">
      <c r="A189" s="8">
        <v>215</v>
      </c>
      <c r="B189" s="8" t="s">
        <v>189</v>
      </c>
      <c r="C189" s="8">
        <v>173</v>
      </c>
      <c r="D189" s="8">
        <v>173</v>
      </c>
      <c r="E189" s="64">
        <v>238</v>
      </c>
      <c r="F189" s="64">
        <v>238</v>
      </c>
      <c r="G189" s="8" t="s">
        <v>190</v>
      </c>
      <c r="H189" s="8">
        <v>2000</v>
      </c>
      <c r="I189" s="8" t="s">
        <v>119</v>
      </c>
      <c r="J189" s="8" t="s">
        <v>89</v>
      </c>
      <c r="K189" s="8">
        <v>1000</v>
      </c>
      <c r="L189" s="8">
        <v>1</v>
      </c>
      <c r="M189" s="8">
        <v>1</v>
      </c>
      <c r="N189" s="64"/>
      <c r="O189" s="8">
        <v>5</v>
      </c>
      <c r="P189" s="8">
        <v>1</v>
      </c>
      <c r="Q189" s="3"/>
      <c r="R189" s="3"/>
    </row>
    <row r="190" spans="1:18" customFormat="1" x14ac:dyDescent="0.25">
      <c r="A190" s="8">
        <v>57</v>
      </c>
      <c r="B190" s="8" t="s">
        <v>189</v>
      </c>
      <c r="C190" s="8">
        <v>173</v>
      </c>
      <c r="D190" s="8">
        <v>173</v>
      </c>
      <c r="E190" s="64">
        <v>342</v>
      </c>
      <c r="F190" s="64">
        <v>342</v>
      </c>
      <c r="G190" s="8" t="s">
        <v>190</v>
      </c>
      <c r="H190" s="8">
        <v>20</v>
      </c>
      <c r="I190" s="8" t="s">
        <v>102</v>
      </c>
      <c r="J190" s="8" t="s">
        <v>85</v>
      </c>
      <c r="K190" s="8">
        <v>10</v>
      </c>
      <c r="L190" s="8">
        <v>1</v>
      </c>
      <c r="M190" s="8">
        <v>1</v>
      </c>
      <c r="N190" s="64">
        <v>2</v>
      </c>
      <c r="O190" s="8">
        <v>5</v>
      </c>
      <c r="P190" s="8">
        <v>1</v>
      </c>
      <c r="Q190" s="3"/>
      <c r="R190" s="3"/>
    </row>
    <row r="191" spans="1:18" customFormat="1" x14ac:dyDescent="0.25">
      <c r="A191" s="9">
        <v>166</v>
      </c>
      <c r="B191" s="9" t="s">
        <v>189</v>
      </c>
      <c r="C191" s="9">
        <v>173</v>
      </c>
      <c r="D191" s="9">
        <v>173</v>
      </c>
      <c r="E191" s="65">
        <v>244</v>
      </c>
      <c r="F191" s="65">
        <v>244</v>
      </c>
      <c r="G191" s="9" t="s">
        <v>190</v>
      </c>
      <c r="H191" s="9">
        <v>2000</v>
      </c>
      <c r="I191" s="9" t="s">
        <v>119</v>
      </c>
      <c r="J191" s="9" t="s">
        <v>89</v>
      </c>
      <c r="K191" s="9">
        <v>500</v>
      </c>
      <c r="L191" s="9">
        <v>1</v>
      </c>
      <c r="M191" s="9">
        <v>1</v>
      </c>
      <c r="N191" s="65" t="s">
        <v>76</v>
      </c>
      <c r="O191" s="9">
        <v>6</v>
      </c>
      <c r="P191" s="9">
        <v>2</v>
      </c>
      <c r="Q191" s="3"/>
      <c r="R191" s="3"/>
    </row>
    <row r="192" spans="1:18" s="3" customFormat="1" x14ac:dyDescent="0.25">
      <c r="A192" s="59"/>
      <c r="B192" s="59"/>
      <c r="C192" s="59"/>
      <c r="D192" s="59"/>
      <c r="E192" s="62"/>
      <c r="F192" s="62"/>
      <c r="G192" s="59"/>
      <c r="H192" s="59"/>
      <c r="I192" s="59"/>
      <c r="J192" s="59"/>
      <c r="K192" s="59"/>
      <c r="L192" s="59"/>
      <c r="M192" s="59"/>
      <c r="N192" s="62"/>
      <c r="O192" s="59"/>
      <c r="P192" s="59"/>
    </row>
    <row r="193" spans="1:18" customFormat="1" x14ac:dyDescent="0.25">
      <c r="A193" s="10">
        <v>167</v>
      </c>
      <c r="B193" s="10" t="s">
        <v>195</v>
      </c>
      <c r="C193" s="10">
        <v>173</v>
      </c>
      <c r="D193" s="10">
        <v>173</v>
      </c>
      <c r="E193" s="63" t="s">
        <v>196</v>
      </c>
      <c r="F193" s="63">
        <v>167</v>
      </c>
      <c r="G193" s="10" t="s">
        <v>197</v>
      </c>
      <c r="H193" s="10">
        <v>750</v>
      </c>
      <c r="I193" s="10" t="s">
        <v>124</v>
      </c>
      <c r="J193" s="10"/>
      <c r="K193" s="10">
        <v>10</v>
      </c>
      <c r="L193" s="10">
        <v>2</v>
      </c>
      <c r="M193" s="10"/>
      <c r="N193" s="63"/>
      <c r="O193" s="10">
        <v>4</v>
      </c>
      <c r="P193" s="10">
        <v>2</v>
      </c>
      <c r="Q193" s="3"/>
      <c r="R193" s="3"/>
    </row>
    <row r="194" spans="1:18" customFormat="1" x14ac:dyDescent="0.25">
      <c r="A194" s="8">
        <v>166</v>
      </c>
      <c r="B194" s="8" t="s">
        <v>195</v>
      </c>
      <c r="C194" s="8">
        <v>173</v>
      </c>
      <c r="D194" s="8">
        <v>173</v>
      </c>
      <c r="E194" s="64">
        <v>342</v>
      </c>
      <c r="F194" s="64" t="s">
        <v>198</v>
      </c>
      <c r="G194" s="8" t="s">
        <v>197</v>
      </c>
      <c r="H194" s="8">
        <v>100</v>
      </c>
      <c r="I194" s="8" t="s">
        <v>124</v>
      </c>
      <c r="J194" s="8"/>
      <c r="K194" s="8">
        <v>0.5</v>
      </c>
      <c r="L194" s="8">
        <v>2</v>
      </c>
      <c r="M194" s="8"/>
      <c r="N194" s="64"/>
      <c r="O194" s="8">
        <v>3</v>
      </c>
      <c r="P194" s="8">
        <v>2</v>
      </c>
      <c r="Q194" s="3"/>
      <c r="R194" s="3"/>
    </row>
    <row r="195" spans="1:18" customFormat="1" x14ac:dyDescent="0.25">
      <c r="A195" s="8">
        <v>64</v>
      </c>
      <c r="B195" s="8" t="s">
        <v>195</v>
      </c>
      <c r="C195" s="8">
        <v>173</v>
      </c>
      <c r="D195" s="8">
        <v>173</v>
      </c>
      <c r="E195" s="64">
        <v>341</v>
      </c>
      <c r="F195" s="64">
        <v>273</v>
      </c>
      <c r="G195" s="8" t="s">
        <v>197</v>
      </c>
      <c r="H195" s="8">
        <v>1500</v>
      </c>
      <c r="I195" s="8" t="s">
        <v>112</v>
      </c>
      <c r="J195" s="8"/>
      <c r="K195" s="8">
        <v>10</v>
      </c>
      <c r="L195" s="8">
        <v>2</v>
      </c>
      <c r="M195" s="8"/>
      <c r="N195" s="64"/>
      <c r="O195" s="8">
        <v>2</v>
      </c>
      <c r="P195" s="8">
        <v>2</v>
      </c>
      <c r="Q195" s="3"/>
      <c r="R195" s="3"/>
    </row>
    <row r="196" spans="1:18" customFormat="1" x14ac:dyDescent="0.25">
      <c r="A196" s="8">
        <v>228</v>
      </c>
      <c r="B196" s="8" t="s">
        <v>195</v>
      </c>
      <c r="C196" s="8">
        <v>173</v>
      </c>
      <c r="D196" s="8">
        <v>173</v>
      </c>
      <c r="E196" s="64">
        <v>194</v>
      </c>
      <c r="F196" s="64" t="s">
        <v>199</v>
      </c>
      <c r="G196" s="8" t="s">
        <v>200</v>
      </c>
      <c r="H196" s="8">
        <v>500</v>
      </c>
      <c r="I196" s="8" t="s">
        <v>201</v>
      </c>
      <c r="J196" s="8"/>
      <c r="K196" s="8">
        <v>250</v>
      </c>
      <c r="L196" s="8">
        <v>2</v>
      </c>
      <c r="M196" s="8"/>
      <c r="N196" s="64"/>
      <c r="O196" s="8">
        <v>3</v>
      </c>
      <c r="P196" s="8">
        <v>3</v>
      </c>
      <c r="Q196" s="3"/>
      <c r="R196" s="3"/>
    </row>
    <row r="197" spans="1:18" customFormat="1" x14ac:dyDescent="0.25">
      <c r="A197" s="8">
        <v>316</v>
      </c>
      <c r="B197" s="8" t="s">
        <v>195</v>
      </c>
      <c r="C197" s="8">
        <v>173</v>
      </c>
      <c r="D197" s="8">
        <v>173</v>
      </c>
      <c r="E197" s="64" t="s">
        <v>202</v>
      </c>
      <c r="F197" s="69">
        <v>296290</v>
      </c>
      <c r="G197" s="8" t="s">
        <v>203</v>
      </c>
      <c r="H197" s="13" t="s">
        <v>204</v>
      </c>
      <c r="I197" s="8" t="s">
        <v>201</v>
      </c>
      <c r="J197" s="8"/>
      <c r="K197" s="13" t="s">
        <v>205</v>
      </c>
      <c r="L197" s="8">
        <v>1</v>
      </c>
      <c r="M197" s="8">
        <v>1</v>
      </c>
      <c r="N197" s="64">
        <v>4</v>
      </c>
      <c r="O197" s="8">
        <v>6</v>
      </c>
      <c r="P197" s="8">
        <v>1</v>
      </c>
      <c r="Q197" s="3"/>
      <c r="R197" s="3"/>
    </row>
    <row r="198" spans="1:18" customFormat="1" x14ac:dyDescent="0.25">
      <c r="A198" s="8">
        <v>268</v>
      </c>
      <c r="B198" s="8" t="s">
        <v>195</v>
      </c>
      <c r="C198" s="8">
        <v>173</v>
      </c>
      <c r="D198" s="8">
        <v>173</v>
      </c>
      <c r="E198" s="64" t="s">
        <v>206</v>
      </c>
      <c r="F198" s="64" t="s">
        <v>207</v>
      </c>
      <c r="G198" s="8" t="s">
        <v>203</v>
      </c>
      <c r="H198" s="8">
        <v>750</v>
      </c>
      <c r="I198" s="8" t="s">
        <v>136</v>
      </c>
      <c r="J198" s="8"/>
      <c r="K198" s="8">
        <v>30</v>
      </c>
      <c r="L198" s="8">
        <v>2</v>
      </c>
      <c r="M198" s="8"/>
      <c r="N198" s="64"/>
      <c r="O198" s="8">
        <v>5</v>
      </c>
      <c r="P198" s="8">
        <v>3</v>
      </c>
      <c r="Q198" s="3"/>
      <c r="R198" s="3"/>
    </row>
    <row r="199" spans="1:18" customFormat="1" x14ac:dyDescent="0.25">
      <c r="A199" s="8">
        <v>66</v>
      </c>
      <c r="B199" s="8" t="s">
        <v>195</v>
      </c>
      <c r="C199" s="8">
        <v>173</v>
      </c>
      <c r="D199" s="8">
        <v>173</v>
      </c>
      <c r="E199" s="64" t="s">
        <v>208</v>
      </c>
      <c r="F199" s="64" t="s">
        <v>208</v>
      </c>
      <c r="G199" s="8" t="s">
        <v>197</v>
      </c>
      <c r="H199" s="8">
        <v>1500</v>
      </c>
      <c r="I199" s="8" t="s">
        <v>209</v>
      </c>
      <c r="J199" s="8"/>
      <c r="K199" s="8">
        <v>100</v>
      </c>
      <c r="L199" s="8">
        <v>2</v>
      </c>
      <c r="M199" s="8"/>
      <c r="N199" s="64"/>
      <c r="O199" s="8">
        <v>3</v>
      </c>
      <c r="P199" s="8">
        <v>2</v>
      </c>
      <c r="Q199" s="3"/>
      <c r="R199" s="3"/>
    </row>
    <row r="200" spans="1:18" customFormat="1" x14ac:dyDescent="0.25">
      <c r="A200" s="8">
        <v>68</v>
      </c>
      <c r="B200" s="8" t="s">
        <v>195</v>
      </c>
      <c r="C200" s="8">
        <v>173</v>
      </c>
      <c r="D200" s="8">
        <v>173</v>
      </c>
      <c r="E200" s="64" t="s">
        <v>210</v>
      </c>
      <c r="F200" s="64" t="s">
        <v>211</v>
      </c>
      <c r="G200" s="8" t="s">
        <v>203</v>
      </c>
      <c r="H200" s="8">
        <v>400</v>
      </c>
      <c r="I200" s="8" t="s">
        <v>114</v>
      </c>
      <c r="J200" s="8"/>
      <c r="K200" s="8">
        <v>5</v>
      </c>
      <c r="L200" s="8">
        <v>1</v>
      </c>
      <c r="M200" s="8">
        <v>1</v>
      </c>
      <c r="N200" s="64">
        <v>2</v>
      </c>
      <c r="O200" s="8">
        <v>2</v>
      </c>
      <c r="P200" s="8">
        <v>2</v>
      </c>
      <c r="Q200" s="3"/>
      <c r="R200" s="3"/>
    </row>
    <row r="201" spans="1:18" customFormat="1" x14ac:dyDescent="0.25">
      <c r="A201" s="8">
        <v>67</v>
      </c>
      <c r="B201" s="8" t="s">
        <v>195</v>
      </c>
      <c r="C201" s="8">
        <v>173</v>
      </c>
      <c r="D201" s="8">
        <v>173</v>
      </c>
      <c r="E201" s="64" t="s">
        <v>212</v>
      </c>
      <c r="F201" s="64" t="s">
        <v>211</v>
      </c>
      <c r="G201" s="8" t="s">
        <v>197</v>
      </c>
      <c r="H201" s="8">
        <v>200</v>
      </c>
      <c r="I201" s="8" t="s">
        <v>114</v>
      </c>
      <c r="J201" s="8"/>
      <c r="K201" s="8">
        <v>5</v>
      </c>
      <c r="L201" s="8">
        <v>1</v>
      </c>
      <c r="M201" s="8">
        <v>1</v>
      </c>
      <c r="N201" s="64">
        <v>2</v>
      </c>
      <c r="O201" s="8">
        <v>4</v>
      </c>
      <c r="P201" s="8">
        <v>2</v>
      </c>
      <c r="Q201" s="3"/>
      <c r="R201" s="3"/>
    </row>
    <row r="202" spans="1:18" customFormat="1" x14ac:dyDescent="0.25">
      <c r="A202" s="8">
        <v>168</v>
      </c>
      <c r="B202" s="8" t="s">
        <v>195</v>
      </c>
      <c r="C202" s="8">
        <v>173</v>
      </c>
      <c r="D202" s="8">
        <v>173</v>
      </c>
      <c r="E202" s="64" t="s">
        <v>213</v>
      </c>
      <c r="F202" s="64">
        <v>278</v>
      </c>
      <c r="G202" s="8" t="s">
        <v>197</v>
      </c>
      <c r="H202" s="8">
        <v>1250</v>
      </c>
      <c r="I202" s="8" t="s">
        <v>209</v>
      </c>
      <c r="J202" s="8"/>
      <c r="K202" s="8">
        <v>1</v>
      </c>
      <c r="L202" s="8">
        <v>1</v>
      </c>
      <c r="M202" s="8">
        <v>1</v>
      </c>
      <c r="N202" s="64" t="s">
        <v>128</v>
      </c>
      <c r="O202" s="8">
        <v>4</v>
      </c>
      <c r="P202" s="8">
        <v>1</v>
      </c>
      <c r="Q202" s="3"/>
      <c r="R202" s="3"/>
    </row>
    <row r="203" spans="1:18" customFormat="1" x14ac:dyDescent="0.25">
      <c r="A203" s="9">
        <v>179</v>
      </c>
      <c r="B203" s="9" t="s">
        <v>195</v>
      </c>
      <c r="C203" s="9">
        <v>173</v>
      </c>
      <c r="D203" s="9">
        <v>173</v>
      </c>
      <c r="E203" s="65">
        <v>295</v>
      </c>
      <c r="F203" s="65">
        <v>295</v>
      </c>
      <c r="G203" s="9" t="s">
        <v>197</v>
      </c>
      <c r="H203" s="9">
        <v>1250</v>
      </c>
      <c r="I203" s="9" t="s">
        <v>209</v>
      </c>
      <c r="J203" s="9"/>
      <c r="K203" s="9">
        <v>100</v>
      </c>
      <c r="L203" s="9">
        <v>1</v>
      </c>
      <c r="M203" s="9">
        <v>1</v>
      </c>
      <c r="N203" s="65">
        <v>5</v>
      </c>
      <c r="O203" s="9">
        <v>4</v>
      </c>
      <c r="P203" s="9">
        <v>2</v>
      </c>
      <c r="Q203" s="3"/>
      <c r="R203" s="3"/>
    </row>
    <row r="204" spans="1:18" s="3" customFormat="1" x14ac:dyDescent="0.25">
      <c r="A204" s="59"/>
      <c r="B204" s="59"/>
      <c r="C204" s="59"/>
      <c r="D204" s="59"/>
      <c r="E204" s="62"/>
      <c r="F204" s="62"/>
      <c r="G204" s="59"/>
      <c r="H204" s="59"/>
      <c r="I204" s="59"/>
      <c r="J204" s="59"/>
      <c r="K204" s="59"/>
      <c r="L204" s="59"/>
      <c r="M204" s="59"/>
      <c r="N204" s="62"/>
      <c r="O204" s="59"/>
      <c r="P204" s="59"/>
    </row>
    <row r="205" spans="1:18" customFormat="1" x14ac:dyDescent="0.25">
      <c r="A205" s="10">
        <v>72</v>
      </c>
      <c r="B205" s="10" t="s">
        <v>214</v>
      </c>
      <c r="C205" s="10">
        <v>169</v>
      </c>
      <c r="D205" s="10">
        <v>169</v>
      </c>
      <c r="E205" s="63">
        <v>526</v>
      </c>
      <c r="F205" s="63">
        <v>526</v>
      </c>
      <c r="G205" s="10" t="s">
        <v>215</v>
      </c>
      <c r="H205" s="10">
        <v>1500</v>
      </c>
      <c r="I205" s="10" t="s">
        <v>82</v>
      </c>
      <c r="J205" s="10" t="s">
        <v>89</v>
      </c>
      <c r="K205" s="10">
        <v>25</v>
      </c>
      <c r="L205" s="10">
        <v>2</v>
      </c>
      <c r="M205" s="10"/>
      <c r="N205" s="63"/>
      <c r="O205" s="10">
        <v>4</v>
      </c>
      <c r="P205" s="10">
        <v>2</v>
      </c>
      <c r="Q205" s="3"/>
      <c r="R205" s="3"/>
    </row>
    <row r="206" spans="1:18" customFormat="1" x14ac:dyDescent="0.25">
      <c r="A206" s="8">
        <v>74</v>
      </c>
      <c r="B206" s="8" t="s">
        <v>214</v>
      </c>
      <c r="C206" s="8">
        <v>169</v>
      </c>
      <c r="D206" s="8">
        <v>170</v>
      </c>
      <c r="E206" s="64">
        <v>494</v>
      </c>
      <c r="F206" s="64">
        <v>494</v>
      </c>
      <c r="G206" s="8" t="s">
        <v>215</v>
      </c>
      <c r="H206" s="8">
        <v>1500</v>
      </c>
      <c r="I206" s="8" t="s">
        <v>73</v>
      </c>
      <c r="J206" s="8" t="s">
        <v>92</v>
      </c>
      <c r="K206" s="8">
        <v>500</v>
      </c>
      <c r="L206" s="8">
        <v>1</v>
      </c>
      <c r="M206" s="8">
        <v>1</v>
      </c>
      <c r="N206" s="64">
        <v>2</v>
      </c>
      <c r="O206" s="8">
        <v>1</v>
      </c>
      <c r="P206" s="8">
        <v>1</v>
      </c>
      <c r="Q206" s="3"/>
      <c r="R206" s="3"/>
    </row>
    <row r="207" spans="1:18" customFormat="1" x14ac:dyDescent="0.25">
      <c r="A207" s="8">
        <v>176</v>
      </c>
      <c r="B207" s="8" t="s">
        <v>214</v>
      </c>
      <c r="C207" s="8">
        <v>169</v>
      </c>
      <c r="D207" s="8">
        <v>169</v>
      </c>
      <c r="E207" s="64">
        <v>12</v>
      </c>
      <c r="F207" s="64">
        <v>466</v>
      </c>
      <c r="G207" s="8" t="s">
        <v>215</v>
      </c>
      <c r="H207" s="8">
        <v>500</v>
      </c>
      <c r="I207" s="8" t="s">
        <v>84</v>
      </c>
      <c r="J207" s="8" t="s">
        <v>85</v>
      </c>
      <c r="K207" s="8"/>
      <c r="L207" s="8">
        <v>2</v>
      </c>
      <c r="M207" s="8"/>
      <c r="N207" s="64"/>
      <c r="O207" s="8">
        <v>6</v>
      </c>
      <c r="P207" s="8">
        <v>3</v>
      </c>
      <c r="Q207" s="3"/>
      <c r="R207" s="3"/>
    </row>
    <row r="208" spans="1:18" customFormat="1" x14ac:dyDescent="0.25">
      <c r="A208" s="8">
        <v>175</v>
      </c>
      <c r="B208" s="8" t="s">
        <v>214</v>
      </c>
      <c r="C208" s="8">
        <v>169</v>
      </c>
      <c r="D208" s="8">
        <v>169</v>
      </c>
      <c r="E208" s="64">
        <v>62</v>
      </c>
      <c r="F208" s="64">
        <v>497</v>
      </c>
      <c r="G208" s="8" t="s">
        <v>215</v>
      </c>
      <c r="H208" s="8">
        <v>1000</v>
      </c>
      <c r="I208" s="8" t="s">
        <v>82</v>
      </c>
      <c r="J208" s="8" t="s">
        <v>92</v>
      </c>
      <c r="K208" s="8">
        <v>4</v>
      </c>
      <c r="L208" s="8">
        <v>2</v>
      </c>
      <c r="M208" s="8"/>
      <c r="N208" s="64"/>
      <c r="O208" s="8">
        <v>4</v>
      </c>
      <c r="P208" s="8">
        <v>1</v>
      </c>
      <c r="Q208" s="3"/>
      <c r="R208" s="3"/>
    </row>
    <row r="209" spans="1:18" customFormat="1" x14ac:dyDescent="0.25">
      <c r="A209" s="8">
        <v>174</v>
      </c>
      <c r="B209" s="8" t="s">
        <v>214</v>
      </c>
      <c r="C209" s="8">
        <v>169</v>
      </c>
      <c r="D209" s="8">
        <v>169</v>
      </c>
      <c r="E209" s="64">
        <v>55</v>
      </c>
      <c r="F209" s="64">
        <v>473</v>
      </c>
      <c r="G209" s="8" t="s">
        <v>215</v>
      </c>
      <c r="H209" s="8">
        <v>750</v>
      </c>
      <c r="I209" s="8" t="s">
        <v>75</v>
      </c>
      <c r="J209" s="8" t="s">
        <v>89</v>
      </c>
      <c r="K209" s="8">
        <v>10</v>
      </c>
      <c r="L209" s="8">
        <v>2</v>
      </c>
      <c r="M209" s="8"/>
      <c r="N209" s="64"/>
      <c r="O209" s="8">
        <v>5</v>
      </c>
      <c r="P209" s="8">
        <v>2</v>
      </c>
      <c r="Q209" s="3"/>
      <c r="R209" s="3"/>
    </row>
    <row r="210" spans="1:18" customFormat="1" x14ac:dyDescent="0.25">
      <c r="A210" s="8">
        <v>173</v>
      </c>
      <c r="B210" s="8" t="s">
        <v>214</v>
      </c>
      <c r="C210" s="8">
        <v>169</v>
      </c>
      <c r="D210" s="8">
        <v>169</v>
      </c>
      <c r="E210" s="64">
        <v>64</v>
      </c>
      <c r="F210" s="64">
        <v>483</v>
      </c>
      <c r="G210" s="8" t="s">
        <v>215</v>
      </c>
      <c r="H210" s="8"/>
      <c r="I210" s="8" t="s">
        <v>75</v>
      </c>
      <c r="J210" s="8" t="s">
        <v>89</v>
      </c>
      <c r="K210" s="8"/>
      <c r="L210" s="8">
        <v>1</v>
      </c>
      <c r="M210" s="8">
        <v>1</v>
      </c>
      <c r="N210" s="64">
        <v>4</v>
      </c>
      <c r="O210" s="8">
        <v>2</v>
      </c>
      <c r="P210" s="8">
        <v>2</v>
      </c>
      <c r="Q210" s="3"/>
      <c r="R210" s="3"/>
    </row>
    <row r="211" spans="1:18" customFormat="1" x14ac:dyDescent="0.25">
      <c r="A211" s="8">
        <v>172</v>
      </c>
      <c r="B211" s="8" t="s">
        <v>214</v>
      </c>
      <c r="C211" s="8">
        <v>170</v>
      </c>
      <c r="D211" s="8">
        <v>170</v>
      </c>
      <c r="E211" s="64">
        <v>465</v>
      </c>
      <c r="F211" s="64">
        <v>465</v>
      </c>
      <c r="G211" s="8" t="s">
        <v>215</v>
      </c>
      <c r="H211" s="8">
        <v>350</v>
      </c>
      <c r="I211" s="8" t="s">
        <v>84</v>
      </c>
      <c r="J211" s="8" t="s">
        <v>85</v>
      </c>
      <c r="K211" s="8">
        <v>5</v>
      </c>
      <c r="L211" s="8">
        <v>2</v>
      </c>
      <c r="M211" s="8"/>
      <c r="N211" s="64"/>
      <c r="O211" s="8">
        <v>8</v>
      </c>
      <c r="P211" s="8">
        <v>1</v>
      </c>
      <c r="Q211" s="3"/>
      <c r="R211" s="3"/>
    </row>
    <row r="212" spans="1:18" customFormat="1" x14ac:dyDescent="0.25">
      <c r="A212" s="8">
        <v>171</v>
      </c>
      <c r="B212" s="8" t="s">
        <v>214</v>
      </c>
      <c r="C212" s="8">
        <v>170</v>
      </c>
      <c r="D212" s="8">
        <v>171</v>
      </c>
      <c r="E212" s="64">
        <v>471</v>
      </c>
      <c r="F212" s="64">
        <v>471</v>
      </c>
      <c r="G212" s="8" t="s">
        <v>215</v>
      </c>
      <c r="H212" s="8">
        <v>500</v>
      </c>
      <c r="I212" s="8" t="s">
        <v>84</v>
      </c>
      <c r="J212" s="8" t="s">
        <v>85</v>
      </c>
      <c r="K212" s="8">
        <v>400</v>
      </c>
      <c r="L212" s="8">
        <v>2</v>
      </c>
      <c r="M212" s="8"/>
      <c r="N212" s="64"/>
      <c r="O212" s="8">
        <v>4</v>
      </c>
      <c r="P212" s="8">
        <v>4</v>
      </c>
      <c r="Q212" s="3"/>
      <c r="R212" s="3"/>
    </row>
    <row r="213" spans="1:18" customFormat="1" x14ac:dyDescent="0.25">
      <c r="A213" s="8">
        <v>71</v>
      </c>
      <c r="B213" s="8" t="s">
        <v>214</v>
      </c>
      <c r="C213" s="8">
        <v>169</v>
      </c>
      <c r="D213" s="8">
        <v>169</v>
      </c>
      <c r="E213" s="64" t="s">
        <v>216</v>
      </c>
      <c r="F213" s="64" t="s">
        <v>216</v>
      </c>
      <c r="G213" s="8" t="s">
        <v>215</v>
      </c>
      <c r="H213" s="8">
        <v>2500</v>
      </c>
      <c r="I213" s="8" t="s">
        <v>82</v>
      </c>
      <c r="J213" s="8" t="s">
        <v>92</v>
      </c>
      <c r="K213" s="8">
        <v>200</v>
      </c>
      <c r="L213" s="8">
        <v>2</v>
      </c>
      <c r="M213" s="8"/>
      <c r="N213" s="64"/>
      <c r="O213" s="8">
        <v>4</v>
      </c>
      <c r="P213" s="8">
        <v>2</v>
      </c>
      <c r="Q213" s="3"/>
      <c r="R213" s="3"/>
    </row>
    <row r="214" spans="1:18" customFormat="1" x14ac:dyDescent="0.25">
      <c r="A214" s="8">
        <v>70</v>
      </c>
      <c r="B214" s="8" t="s">
        <v>214</v>
      </c>
      <c r="C214" s="8">
        <v>169</v>
      </c>
      <c r="D214" s="8">
        <v>169</v>
      </c>
      <c r="E214" s="64">
        <v>503</v>
      </c>
      <c r="F214" s="64">
        <v>503</v>
      </c>
      <c r="G214" s="8" t="s">
        <v>215</v>
      </c>
      <c r="H214" s="8">
        <v>250</v>
      </c>
      <c r="I214" s="8" t="s">
        <v>80</v>
      </c>
      <c r="J214" s="8" t="s">
        <v>85</v>
      </c>
      <c r="K214" s="8">
        <v>100</v>
      </c>
      <c r="L214" s="8">
        <v>2</v>
      </c>
      <c r="M214" s="8"/>
      <c r="N214" s="64"/>
      <c r="O214" s="8">
        <v>3</v>
      </c>
      <c r="P214" s="8">
        <v>1</v>
      </c>
      <c r="Q214" s="3"/>
      <c r="R214" s="3"/>
    </row>
    <row r="215" spans="1:18" customFormat="1" x14ac:dyDescent="0.25">
      <c r="A215" s="8">
        <v>69</v>
      </c>
      <c r="B215" s="8" t="s">
        <v>214</v>
      </c>
      <c r="C215" s="8">
        <v>170</v>
      </c>
      <c r="D215" s="8">
        <v>170</v>
      </c>
      <c r="E215" s="64">
        <v>467</v>
      </c>
      <c r="F215" s="64">
        <v>467</v>
      </c>
      <c r="G215" s="8" t="s">
        <v>215</v>
      </c>
      <c r="H215" s="8">
        <v>500</v>
      </c>
      <c r="I215" s="8" t="s">
        <v>84</v>
      </c>
      <c r="J215" s="8" t="s">
        <v>85</v>
      </c>
      <c r="K215" s="8">
        <v>5</v>
      </c>
      <c r="L215" s="8">
        <v>2</v>
      </c>
      <c r="M215" s="8"/>
      <c r="N215" s="64"/>
      <c r="O215" s="8">
        <v>4</v>
      </c>
      <c r="P215" s="8">
        <v>2</v>
      </c>
      <c r="Q215" s="3"/>
      <c r="R215" s="3"/>
    </row>
    <row r="216" spans="1:18" customFormat="1" x14ac:dyDescent="0.25">
      <c r="A216" s="8">
        <v>177</v>
      </c>
      <c r="B216" s="8" t="s">
        <v>214</v>
      </c>
      <c r="C216" s="8">
        <v>170</v>
      </c>
      <c r="D216" s="8">
        <v>170</v>
      </c>
      <c r="E216" s="64" t="s">
        <v>217</v>
      </c>
      <c r="F216" s="64" t="s">
        <v>218</v>
      </c>
      <c r="G216" s="8" t="s">
        <v>215</v>
      </c>
      <c r="H216" s="8">
        <v>1000</v>
      </c>
      <c r="I216" s="8" t="s">
        <v>75</v>
      </c>
      <c r="J216" s="8" t="s">
        <v>89</v>
      </c>
      <c r="K216" s="8">
        <v>150</v>
      </c>
      <c r="L216" s="8">
        <v>2</v>
      </c>
      <c r="M216" s="8"/>
      <c r="N216" s="64"/>
      <c r="O216" s="8">
        <v>4</v>
      </c>
      <c r="P216" s="8">
        <v>1</v>
      </c>
      <c r="Q216" s="3"/>
      <c r="R216" s="3"/>
    </row>
    <row r="217" spans="1:18" customFormat="1" x14ac:dyDescent="0.25">
      <c r="A217" s="8">
        <v>75</v>
      </c>
      <c r="B217" s="8" t="s">
        <v>214</v>
      </c>
      <c r="C217" s="8">
        <v>170</v>
      </c>
      <c r="D217" s="8">
        <v>170</v>
      </c>
      <c r="E217" s="64">
        <v>478</v>
      </c>
      <c r="F217" s="64">
        <v>478</v>
      </c>
      <c r="G217" s="8" t="s">
        <v>215</v>
      </c>
      <c r="H217" s="8">
        <v>1000</v>
      </c>
      <c r="I217" s="8" t="s">
        <v>75</v>
      </c>
      <c r="J217" s="8" t="s">
        <v>89</v>
      </c>
      <c r="K217" s="8"/>
      <c r="L217" s="8">
        <v>2</v>
      </c>
      <c r="M217" s="8"/>
      <c r="N217" s="64"/>
      <c r="O217" s="8">
        <v>4</v>
      </c>
      <c r="P217" s="8">
        <v>2</v>
      </c>
      <c r="Q217" s="3"/>
      <c r="R217" s="3"/>
    </row>
    <row r="218" spans="1:18" customFormat="1" x14ac:dyDescent="0.25">
      <c r="A218" s="9">
        <v>73</v>
      </c>
      <c r="B218" s="9" t="s">
        <v>214</v>
      </c>
      <c r="C218" s="9">
        <v>169</v>
      </c>
      <c r="D218" s="9">
        <v>169</v>
      </c>
      <c r="E218" s="65" t="s">
        <v>219</v>
      </c>
      <c r="F218" s="65" t="s">
        <v>219</v>
      </c>
      <c r="G218" s="9" t="s">
        <v>215</v>
      </c>
      <c r="H218" s="9">
        <v>2250</v>
      </c>
      <c r="I218" s="9" t="s">
        <v>73</v>
      </c>
      <c r="J218" s="9" t="s">
        <v>92</v>
      </c>
      <c r="K218" s="9">
        <v>500</v>
      </c>
      <c r="L218" s="9">
        <v>2</v>
      </c>
      <c r="M218" s="9"/>
      <c r="N218" s="65"/>
      <c r="O218" s="9">
        <v>3</v>
      </c>
      <c r="P218" s="9">
        <v>1</v>
      </c>
      <c r="Q218" s="3"/>
      <c r="R218" s="3"/>
    </row>
    <row r="219" spans="1:18" s="3" customFormat="1" x14ac:dyDescent="0.25">
      <c r="A219" s="59"/>
      <c r="B219" s="59"/>
      <c r="C219" s="59"/>
      <c r="D219" s="59"/>
      <c r="E219" s="62"/>
      <c r="F219" s="62"/>
      <c r="G219" s="59"/>
      <c r="H219" s="59"/>
      <c r="I219" s="59"/>
      <c r="J219" s="59"/>
      <c r="K219" s="59"/>
      <c r="L219" s="59"/>
      <c r="M219" s="59"/>
      <c r="N219" s="62"/>
      <c r="O219" s="59"/>
      <c r="P219" s="59"/>
    </row>
    <row r="220" spans="1:18" customFormat="1" x14ac:dyDescent="0.25">
      <c r="A220" s="10">
        <v>216</v>
      </c>
      <c r="B220" s="10" t="s">
        <v>263</v>
      </c>
      <c r="C220" s="10">
        <v>168</v>
      </c>
      <c r="D220" s="10">
        <v>168</v>
      </c>
      <c r="E220" s="63">
        <v>821</v>
      </c>
      <c r="F220" s="63">
        <v>821</v>
      </c>
      <c r="G220" s="10" t="s">
        <v>220</v>
      </c>
      <c r="H220" s="10">
        <v>2000</v>
      </c>
      <c r="I220" s="10" t="s">
        <v>221</v>
      </c>
      <c r="J220" s="10" t="s">
        <v>92</v>
      </c>
      <c r="K220" s="10">
        <v>1000</v>
      </c>
      <c r="L220" s="10">
        <v>1</v>
      </c>
      <c r="M220" s="10">
        <v>1</v>
      </c>
      <c r="N220" s="63" t="s">
        <v>76</v>
      </c>
      <c r="O220" s="10">
        <v>5</v>
      </c>
      <c r="P220" s="10">
        <v>3</v>
      </c>
      <c r="Q220" s="3"/>
      <c r="R220" s="3"/>
    </row>
    <row r="221" spans="1:18" customFormat="1" x14ac:dyDescent="0.25">
      <c r="A221" s="8">
        <v>217</v>
      </c>
      <c r="B221" s="10" t="s">
        <v>263</v>
      </c>
      <c r="C221" s="8">
        <v>168</v>
      </c>
      <c r="D221" s="8">
        <v>168</v>
      </c>
      <c r="E221" s="64">
        <v>831</v>
      </c>
      <c r="F221" s="64">
        <v>831</v>
      </c>
      <c r="G221" s="8" t="s">
        <v>220</v>
      </c>
      <c r="H221" s="8">
        <v>1500</v>
      </c>
      <c r="I221" s="8" t="s">
        <v>221</v>
      </c>
      <c r="J221" s="8" t="s">
        <v>92</v>
      </c>
      <c r="K221" s="8">
        <v>500</v>
      </c>
      <c r="L221" s="8">
        <v>1</v>
      </c>
      <c r="M221" s="8">
        <v>1</v>
      </c>
      <c r="N221" s="64"/>
      <c r="O221" s="8">
        <v>5</v>
      </c>
      <c r="P221" s="8">
        <v>4</v>
      </c>
      <c r="Q221" s="3"/>
      <c r="R221" s="3"/>
    </row>
    <row r="222" spans="1:18" customFormat="1" x14ac:dyDescent="0.25">
      <c r="A222" s="8">
        <v>218</v>
      </c>
      <c r="B222" s="10" t="s">
        <v>263</v>
      </c>
      <c r="C222" s="8">
        <v>168</v>
      </c>
      <c r="D222" s="8">
        <v>168</v>
      </c>
      <c r="E222" s="64">
        <v>830</v>
      </c>
      <c r="F222" s="64">
        <v>830</v>
      </c>
      <c r="G222" s="8" t="s">
        <v>220</v>
      </c>
      <c r="H222" s="8">
        <v>2000</v>
      </c>
      <c r="I222" s="8" t="s">
        <v>221</v>
      </c>
      <c r="J222" s="8" t="s">
        <v>92</v>
      </c>
      <c r="K222" s="8">
        <v>750</v>
      </c>
      <c r="L222" s="8">
        <v>1</v>
      </c>
      <c r="M222" s="8">
        <v>1</v>
      </c>
      <c r="N222" s="64">
        <v>4</v>
      </c>
      <c r="O222" s="8">
        <v>4</v>
      </c>
      <c r="P222" s="8">
        <v>2</v>
      </c>
      <c r="Q222" s="3"/>
      <c r="R222" s="3"/>
    </row>
    <row r="223" spans="1:18" customFormat="1" x14ac:dyDescent="0.25">
      <c r="A223" s="8">
        <v>81</v>
      </c>
      <c r="B223" s="10" t="s">
        <v>263</v>
      </c>
      <c r="C223" s="8">
        <v>165</v>
      </c>
      <c r="D223" s="8">
        <v>165</v>
      </c>
      <c r="E223" s="64">
        <v>804</v>
      </c>
      <c r="F223" s="64">
        <v>804</v>
      </c>
      <c r="G223" s="8" t="s">
        <v>220</v>
      </c>
      <c r="H223" s="8">
        <v>500</v>
      </c>
      <c r="I223" s="8" t="s">
        <v>181</v>
      </c>
      <c r="J223" s="8" t="s">
        <v>89</v>
      </c>
      <c r="K223" s="8">
        <v>5</v>
      </c>
      <c r="L223" s="8">
        <v>2</v>
      </c>
      <c r="M223" s="8"/>
      <c r="N223" s="64"/>
      <c r="O223" s="8">
        <v>5</v>
      </c>
      <c r="P223" s="8">
        <v>1</v>
      </c>
      <c r="Q223" s="3"/>
      <c r="R223" s="3"/>
    </row>
    <row r="224" spans="1:18" customFormat="1" x14ac:dyDescent="0.25">
      <c r="A224" s="8">
        <v>82</v>
      </c>
      <c r="B224" s="10" t="s">
        <v>263</v>
      </c>
      <c r="C224" s="8">
        <v>165</v>
      </c>
      <c r="D224" s="8">
        <v>168</v>
      </c>
      <c r="E224" s="64">
        <v>805</v>
      </c>
      <c r="F224" s="64">
        <v>805</v>
      </c>
      <c r="G224" s="8" t="s">
        <v>220</v>
      </c>
      <c r="H224" s="8">
        <v>1000</v>
      </c>
      <c r="I224" s="8" t="s">
        <v>81</v>
      </c>
      <c r="J224" s="8" t="s">
        <v>92</v>
      </c>
      <c r="K224" s="8">
        <v>2</v>
      </c>
      <c r="L224" s="8">
        <v>1</v>
      </c>
      <c r="M224" s="8">
        <v>1</v>
      </c>
      <c r="N224" s="64">
        <v>2</v>
      </c>
      <c r="O224" s="8">
        <v>3</v>
      </c>
      <c r="P224" s="8">
        <v>1</v>
      </c>
      <c r="Q224" s="3"/>
      <c r="R224" s="3"/>
    </row>
    <row r="225" spans="1:18" customFormat="1" x14ac:dyDescent="0.25">
      <c r="A225" s="8">
        <v>83</v>
      </c>
      <c r="B225" s="10" t="s">
        <v>263</v>
      </c>
      <c r="C225" s="8">
        <v>165</v>
      </c>
      <c r="D225" s="8">
        <v>162</v>
      </c>
      <c r="E225" s="64">
        <v>808</v>
      </c>
      <c r="F225" s="64">
        <v>808</v>
      </c>
      <c r="G225" s="8" t="s">
        <v>220</v>
      </c>
      <c r="H225" s="8">
        <v>1000</v>
      </c>
      <c r="I225" s="8" t="s">
        <v>81</v>
      </c>
      <c r="J225" s="8" t="s">
        <v>92</v>
      </c>
      <c r="K225" s="8">
        <v>5</v>
      </c>
      <c r="L225" s="8">
        <v>2</v>
      </c>
      <c r="M225" s="8"/>
      <c r="N225" s="64"/>
      <c r="O225" s="8">
        <v>2</v>
      </c>
      <c r="P225" s="8">
        <v>1</v>
      </c>
      <c r="Q225" s="3"/>
      <c r="R225" s="3"/>
    </row>
    <row r="226" spans="1:18" customFormat="1" x14ac:dyDescent="0.25">
      <c r="A226" s="8">
        <v>84</v>
      </c>
      <c r="B226" s="10" t="s">
        <v>263</v>
      </c>
      <c r="C226" s="8">
        <v>165</v>
      </c>
      <c r="D226" s="8">
        <v>168</v>
      </c>
      <c r="E226" s="64">
        <v>787</v>
      </c>
      <c r="F226" s="64">
        <v>787</v>
      </c>
      <c r="G226" s="8" t="s">
        <v>220</v>
      </c>
      <c r="H226" s="8">
        <v>50</v>
      </c>
      <c r="I226" s="8" t="s">
        <v>183</v>
      </c>
      <c r="J226" s="8" t="s">
        <v>89</v>
      </c>
      <c r="K226" s="8">
        <v>2</v>
      </c>
      <c r="L226" s="8">
        <v>1</v>
      </c>
      <c r="M226" s="8">
        <v>1</v>
      </c>
      <c r="N226" s="64">
        <v>1</v>
      </c>
      <c r="O226" s="8">
        <v>5</v>
      </c>
      <c r="P226" s="8">
        <v>1</v>
      </c>
      <c r="Q226" s="3"/>
      <c r="R226" s="3"/>
    </row>
    <row r="227" spans="1:18" customFormat="1" x14ac:dyDescent="0.25">
      <c r="A227" s="8">
        <v>85</v>
      </c>
      <c r="B227" s="10" t="s">
        <v>263</v>
      </c>
      <c r="C227" s="8">
        <v>165</v>
      </c>
      <c r="D227" s="8">
        <v>168</v>
      </c>
      <c r="E227" s="64">
        <v>779</v>
      </c>
      <c r="F227" s="64">
        <v>779</v>
      </c>
      <c r="G227" s="8" t="s">
        <v>220</v>
      </c>
      <c r="H227" s="8">
        <v>50</v>
      </c>
      <c r="I227" s="8" t="s">
        <v>182</v>
      </c>
      <c r="J227" s="8" t="s">
        <v>89</v>
      </c>
      <c r="K227" s="8">
        <v>2</v>
      </c>
      <c r="L227" s="8">
        <v>1</v>
      </c>
      <c r="M227" s="8">
        <v>1</v>
      </c>
      <c r="N227" s="64">
        <v>1</v>
      </c>
      <c r="O227" s="8">
        <v>5</v>
      </c>
      <c r="P227" s="8">
        <v>2</v>
      </c>
      <c r="Q227" s="3"/>
      <c r="R227" s="3"/>
    </row>
    <row r="228" spans="1:18" customFormat="1" x14ac:dyDescent="0.25">
      <c r="A228" s="8">
        <v>86</v>
      </c>
      <c r="B228" s="10" t="s">
        <v>263</v>
      </c>
      <c r="C228" s="8">
        <v>165</v>
      </c>
      <c r="D228" s="8">
        <v>168</v>
      </c>
      <c r="E228" s="64" t="s">
        <v>222</v>
      </c>
      <c r="F228" s="64" t="s">
        <v>222</v>
      </c>
      <c r="G228" s="8" t="s">
        <v>220</v>
      </c>
      <c r="H228" s="8">
        <v>750</v>
      </c>
      <c r="I228" s="8" t="s">
        <v>81</v>
      </c>
      <c r="J228" s="8" t="s">
        <v>92</v>
      </c>
      <c r="K228" s="8">
        <v>2</v>
      </c>
      <c r="L228" s="8">
        <v>1</v>
      </c>
      <c r="M228" s="8">
        <v>1</v>
      </c>
      <c r="N228" s="64">
        <v>1</v>
      </c>
      <c r="O228" s="8">
        <v>4</v>
      </c>
      <c r="P228" s="8">
        <v>2</v>
      </c>
      <c r="Q228" s="3"/>
      <c r="R228" s="3"/>
    </row>
    <row r="229" spans="1:18" customFormat="1" x14ac:dyDescent="0.25">
      <c r="A229" s="8">
        <v>87</v>
      </c>
      <c r="B229" s="10" t="s">
        <v>263</v>
      </c>
      <c r="C229" s="8">
        <v>167</v>
      </c>
      <c r="D229" s="8">
        <v>167</v>
      </c>
      <c r="E229" s="64">
        <v>19</v>
      </c>
      <c r="F229" s="64">
        <v>931</v>
      </c>
      <c r="G229" s="8" t="s">
        <v>220</v>
      </c>
      <c r="H229" s="8">
        <v>250</v>
      </c>
      <c r="I229" s="8" t="s">
        <v>223</v>
      </c>
      <c r="J229" s="8" t="s">
        <v>85</v>
      </c>
      <c r="K229" s="8">
        <v>2</v>
      </c>
      <c r="L229" s="8">
        <v>1</v>
      </c>
      <c r="M229" s="8">
        <v>1</v>
      </c>
      <c r="N229" s="64">
        <v>1</v>
      </c>
      <c r="O229" s="8">
        <v>3</v>
      </c>
      <c r="P229" s="8">
        <v>2</v>
      </c>
      <c r="Q229" s="3"/>
      <c r="R229" s="3"/>
    </row>
    <row r="230" spans="1:18" customFormat="1" x14ac:dyDescent="0.25">
      <c r="A230" s="8">
        <v>88</v>
      </c>
      <c r="B230" s="10" t="s">
        <v>263</v>
      </c>
      <c r="C230" s="8">
        <v>166</v>
      </c>
      <c r="D230" s="8">
        <v>166</v>
      </c>
      <c r="E230" s="64">
        <v>562</v>
      </c>
      <c r="F230" s="64">
        <v>562</v>
      </c>
      <c r="G230" s="8" t="s">
        <v>220</v>
      </c>
      <c r="H230" s="8">
        <v>500</v>
      </c>
      <c r="I230" s="8" t="s">
        <v>80</v>
      </c>
      <c r="J230" s="8" t="s">
        <v>85</v>
      </c>
      <c r="K230" s="8">
        <v>2</v>
      </c>
      <c r="L230" s="8">
        <v>1</v>
      </c>
      <c r="M230" s="8">
        <v>1</v>
      </c>
      <c r="N230" s="64" t="s">
        <v>140</v>
      </c>
      <c r="O230" s="8">
        <v>7</v>
      </c>
      <c r="P230" s="8">
        <v>1</v>
      </c>
      <c r="Q230" s="3"/>
      <c r="R230" s="3"/>
    </row>
    <row r="231" spans="1:18" customFormat="1" x14ac:dyDescent="0.25">
      <c r="A231" s="8">
        <v>89</v>
      </c>
      <c r="B231" s="10" t="s">
        <v>263</v>
      </c>
      <c r="C231" s="8">
        <v>166</v>
      </c>
      <c r="D231" s="8">
        <v>166</v>
      </c>
      <c r="E231" s="64">
        <v>571</v>
      </c>
      <c r="F231" s="64">
        <v>571</v>
      </c>
      <c r="G231" s="8" t="s">
        <v>220</v>
      </c>
      <c r="H231" s="8">
        <v>500</v>
      </c>
      <c r="I231" s="8" t="s">
        <v>79</v>
      </c>
      <c r="J231" s="8" t="s">
        <v>85</v>
      </c>
      <c r="K231" s="8">
        <v>2</v>
      </c>
      <c r="L231" s="8">
        <v>1</v>
      </c>
      <c r="M231" s="8">
        <v>2</v>
      </c>
      <c r="N231" s="64" t="s">
        <v>140</v>
      </c>
      <c r="O231" s="8">
        <v>3</v>
      </c>
      <c r="P231" s="8">
        <v>1</v>
      </c>
      <c r="Q231" s="3"/>
      <c r="R231" s="3"/>
    </row>
    <row r="232" spans="1:18" customFormat="1" x14ac:dyDescent="0.25">
      <c r="A232" s="8">
        <v>90</v>
      </c>
      <c r="B232" s="10" t="s">
        <v>263</v>
      </c>
      <c r="C232" s="8">
        <v>166</v>
      </c>
      <c r="D232" s="8">
        <v>167</v>
      </c>
      <c r="E232" s="64">
        <v>922</v>
      </c>
      <c r="F232" s="64">
        <v>922</v>
      </c>
      <c r="G232" s="8" t="s">
        <v>220</v>
      </c>
      <c r="H232" s="8">
        <v>400</v>
      </c>
      <c r="I232" s="8" t="s">
        <v>224</v>
      </c>
      <c r="J232" s="8" t="s">
        <v>85</v>
      </c>
      <c r="K232" s="8">
        <v>2</v>
      </c>
      <c r="L232" s="8">
        <v>2</v>
      </c>
      <c r="M232" s="8"/>
      <c r="N232" s="64"/>
      <c r="O232" s="8">
        <v>6</v>
      </c>
      <c r="P232" s="8">
        <v>1</v>
      </c>
      <c r="Q232" s="3"/>
      <c r="R232" s="3"/>
    </row>
    <row r="233" spans="1:18" customFormat="1" x14ac:dyDescent="0.25">
      <c r="A233" s="8">
        <v>91</v>
      </c>
      <c r="B233" s="10" t="s">
        <v>263</v>
      </c>
      <c r="C233" s="8">
        <v>166</v>
      </c>
      <c r="D233" s="8">
        <v>166</v>
      </c>
      <c r="E233" s="64">
        <v>591</v>
      </c>
      <c r="F233" s="64">
        <v>591</v>
      </c>
      <c r="G233" s="8" t="s">
        <v>220</v>
      </c>
      <c r="H233" s="8">
        <v>250</v>
      </c>
      <c r="I233" s="8" t="s">
        <v>82</v>
      </c>
      <c r="J233" s="8" t="s">
        <v>85</v>
      </c>
      <c r="K233" s="8">
        <v>10</v>
      </c>
      <c r="L233" s="8">
        <v>1</v>
      </c>
      <c r="M233" s="8">
        <v>1</v>
      </c>
      <c r="N233" s="64">
        <v>1</v>
      </c>
      <c r="O233" s="8">
        <v>2</v>
      </c>
      <c r="P233" s="8">
        <v>1</v>
      </c>
      <c r="Q233" s="3"/>
      <c r="R233" s="3"/>
    </row>
    <row r="234" spans="1:18" customFormat="1" x14ac:dyDescent="0.25">
      <c r="A234" s="8">
        <v>92</v>
      </c>
      <c r="B234" s="10" t="s">
        <v>263</v>
      </c>
      <c r="C234" s="8">
        <v>166</v>
      </c>
      <c r="D234" s="8">
        <v>166</v>
      </c>
      <c r="E234" s="64">
        <v>592</v>
      </c>
      <c r="F234" s="64">
        <v>592</v>
      </c>
      <c r="G234" s="8" t="s">
        <v>220</v>
      </c>
      <c r="H234" s="8">
        <v>500</v>
      </c>
      <c r="I234" s="8" t="s">
        <v>82</v>
      </c>
      <c r="J234" s="8" t="s">
        <v>85</v>
      </c>
      <c r="K234" s="8">
        <v>5</v>
      </c>
      <c r="L234" s="8">
        <v>1</v>
      </c>
      <c r="M234" s="8">
        <v>1</v>
      </c>
      <c r="N234" s="64">
        <v>1</v>
      </c>
      <c r="O234" s="8">
        <v>5</v>
      </c>
      <c r="P234" s="8">
        <v>2</v>
      </c>
      <c r="Q234" s="3"/>
      <c r="R234" s="3"/>
    </row>
    <row r="235" spans="1:18" customFormat="1" x14ac:dyDescent="0.25">
      <c r="A235" s="8">
        <v>93</v>
      </c>
      <c r="B235" s="10" t="s">
        <v>263</v>
      </c>
      <c r="C235" s="8">
        <v>169</v>
      </c>
      <c r="D235" s="8">
        <v>169</v>
      </c>
      <c r="E235" s="64">
        <v>892</v>
      </c>
      <c r="F235" s="64">
        <v>892</v>
      </c>
      <c r="G235" s="8" t="s">
        <v>220</v>
      </c>
      <c r="H235" s="8">
        <v>100</v>
      </c>
      <c r="I235" s="8" t="s">
        <v>79</v>
      </c>
      <c r="J235" s="8" t="s">
        <v>85</v>
      </c>
      <c r="K235" s="8">
        <v>5</v>
      </c>
      <c r="L235" s="8">
        <v>1</v>
      </c>
      <c r="M235" s="8">
        <v>1</v>
      </c>
      <c r="N235" s="64">
        <v>2</v>
      </c>
      <c r="O235" s="8">
        <v>7</v>
      </c>
      <c r="P235" s="8">
        <v>2</v>
      </c>
      <c r="Q235" s="3"/>
      <c r="R235" s="3"/>
    </row>
    <row r="236" spans="1:18" customFormat="1" x14ac:dyDescent="0.25">
      <c r="A236" s="8">
        <v>94</v>
      </c>
      <c r="B236" s="10" t="s">
        <v>263</v>
      </c>
      <c r="C236" s="8">
        <v>169</v>
      </c>
      <c r="D236" s="8">
        <v>169</v>
      </c>
      <c r="E236" s="64">
        <v>884</v>
      </c>
      <c r="F236" s="64">
        <v>884</v>
      </c>
      <c r="G236" s="8" t="s">
        <v>220</v>
      </c>
      <c r="H236" s="8">
        <v>500</v>
      </c>
      <c r="I236" s="8" t="s">
        <v>80</v>
      </c>
      <c r="J236" s="8" t="s">
        <v>85</v>
      </c>
      <c r="K236" s="8">
        <v>2</v>
      </c>
      <c r="L236" s="8">
        <v>1</v>
      </c>
      <c r="M236" s="8">
        <v>1</v>
      </c>
      <c r="N236" s="64">
        <v>2</v>
      </c>
      <c r="O236" s="8">
        <v>4</v>
      </c>
      <c r="P236" s="8">
        <v>2</v>
      </c>
      <c r="Q236" s="3"/>
      <c r="R236" s="3"/>
    </row>
    <row r="237" spans="1:18" customFormat="1" x14ac:dyDescent="0.25">
      <c r="A237" s="8">
        <v>95</v>
      </c>
      <c r="B237" s="10" t="s">
        <v>263</v>
      </c>
      <c r="C237" s="8">
        <v>166</v>
      </c>
      <c r="D237" s="8">
        <v>166</v>
      </c>
      <c r="E237" s="64">
        <v>584</v>
      </c>
      <c r="F237" s="64">
        <v>584</v>
      </c>
      <c r="G237" s="8" t="s">
        <v>220</v>
      </c>
      <c r="H237" s="8">
        <v>1000</v>
      </c>
      <c r="I237" s="8" t="s">
        <v>73</v>
      </c>
      <c r="J237" s="8" t="s">
        <v>85</v>
      </c>
      <c r="K237" s="8">
        <v>200</v>
      </c>
      <c r="L237" s="8">
        <v>2</v>
      </c>
      <c r="M237" s="8"/>
      <c r="N237" s="64"/>
      <c r="O237" s="8">
        <v>5</v>
      </c>
      <c r="P237" s="8">
        <v>2</v>
      </c>
      <c r="Q237" s="3"/>
      <c r="R237" s="3"/>
    </row>
    <row r="238" spans="1:18" customFormat="1" x14ac:dyDescent="0.25">
      <c r="A238" s="8">
        <v>184</v>
      </c>
      <c r="B238" s="10" t="s">
        <v>263</v>
      </c>
      <c r="C238" s="8">
        <v>165</v>
      </c>
      <c r="D238" s="8">
        <v>165</v>
      </c>
      <c r="E238" s="64">
        <v>762</v>
      </c>
      <c r="F238" s="64">
        <v>762</v>
      </c>
      <c r="G238" s="8" t="s">
        <v>220</v>
      </c>
      <c r="H238" s="8">
        <v>100</v>
      </c>
      <c r="I238" s="8" t="s">
        <v>226</v>
      </c>
      <c r="J238" s="8" t="s">
        <v>89</v>
      </c>
      <c r="K238" s="8">
        <v>100</v>
      </c>
      <c r="L238" s="8">
        <v>1</v>
      </c>
      <c r="M238" s="8">
        <v>1</v>
      </c>
      <c r="N238" s="64" t="s">
        <v>225</v>
      </c>
      <c r="O238" s="8">
        <v>4</v>
      </c>
      <c r="P238" s="8">
        <v>1</v>
      </c>
      <c r="Q238" s="3"/>
      <c r="R238" s="3"/>
    </row>
    <row r="239" spans="1:18" customFormat="1" x14ac:dyDescent="0.25">
      <c r="A239" s="8">
        <v>185</v>
      </c>
      <c r="B239" s="10" t="s">
        <v>263</v>
      </c>
      <c r="C239" s="8">
        <v>167</v>
      </c>
      <c r="D239" s="8">
        <v>167</v>
      </c>
      <c r="E239" s="64">
        <v>760</v>
      </c>
      <c r="F239" s="64">
        <v>760</v>
      </c>
      <c r="G239" s="8" t="s">
        <v>220</v>
      </c>
      <c r="H239" s="8">
        <v>100</v>
      </c>
      <c r="I239" s="8" t="s">
        <v>226</v>
      </c>
      <c r="J239" s="8" t="s">
        <v>89</v>
      </c>
      <c r="K239" s="8">
        <v>4</v>
      </c>
      <c r="L239" s="8">
        <v>1</v>
      </c>
      <c r="M239" s="8">
        <v>1</v>
      </c>
      <c r="N239" s="64" t="s">
        <v>76</v>
      </c>
      <c r="O239" s="8">
        <v>5</v>
      </c>
      <c r="P239" s="8">
        <v>1</v>
      </c>
      <c r="Q239" s="3"/>
      <c r="R239" s="3"/>
    </row>
    <row r="240" spans="1:18" customFormat="1" x14ac:dyDescent="0.25">
      <c r="A240" s="8">
        <v>186</v>
      </c>
      <c r="B240" s="10" t="s">
        <v>263</v>
      </c>
      <c r="C240" s="8">
        <v>165</v>
      </c>
      <c r="D240" s="8">
        <v>168</v>
      </c>
      <c r="E240" s="64">
        <v>761</v>
      </c>
      <c r="F240" s="64">
        <v>761</v>
      </c>
      <c r="G240" s="8" t="s">
        <v>220</v>
      </c>
      <c r="H240" s="8">
        <v>2000</v>
      </c>
      <c r="I240" s="8" t="s">
        <v>226</v>
      </c>
      <c r="J240" s="8" t="s">
        <v>89</v>
      </c>
      <c r="K240" s="8">
        <v>1</v>
      </c>
      <c r="L240" s="8">
        <v>1</v>
      </c>
      <c r="M240" s="8">
        <v>1</v>
      </c>
      <c r="N240" s="64" t="s">
        <v>76</v>
      </c>
      <c r="O240" s="8">
        <v>4</v>
      </c>
      <c r="P240" s="8">
        <v>2</v>
      </c>
      <c r="Q240" s="3"/>
      <c r="R240" s="3"/>
    </row>
    <row r="241" spans="1:18" customFormat="1" x14ac:dyDescent="0.25">
      <c r="A241" s="8">
        <v>187</v>
      </c>
      <c r="B241" s="10" t="s">
        <v>263</v>
      </c>
      <c r="C241" s="8">
        <v>165</v>
      </c>
      <c r="D241" s="8">
        <v>165</v>
      </c>
      <c r="E241" s="64">
        <v>779</v>
      </c>
      <c r="F241" s="64">
        <v>779</v>
      </c>
      <c r="G241" s="8" t="s">
        <v>220</v>
      </c>
      <c r="H241" s="8">
        <v>1000</v>
      </c>
      <c r="I241" s="8" t="s">
        <v>98</v>
      </c>
      <c r="J241" s="8" t="s">
        <v>89</v>
      </c>
      <c r="K241" s="8">
        <v>0</v>
      </c>
      <c r="L241" s="8">
        <v>2</v>
      </c>
      <c r="M241" s="8"/>
      <c r="N241" s="64"/>
      <c r="O241" s="8">
        <v>5</v>
      </c>
      <c r="P241" s="8">
        <v>3</v>
      </c>
      <c r="Q241" s="3"/>
      <c r="R241" s="3"/>
    </row>
    <row r="242" spans="1:18" customFormat="1" x14ac:dyDescent="0.25">
      <c r="A242" s="8">
        <v>188</v>
      </c>
      <c r="B242" s="10" t="s">
        <v>263</v>
      </c>
      <c r="C242" s="8">
        <v>168</v>
      </c>
      <c r="D242" s="8">
        <v>168</v>
      </c>
      <c r="E242" s="64">
        <v>816</v>
      </c>
      <c r="F242" s="64">
        <v>816</v>
      </c>
      <c r="G242" s="8" t="s">
        <v>220</v>
      </c>
      <c r="H242" s="8">
        <v>3000</v>
      </c>
      <c r="I242" s="8" t="s">
        <v>221</v>
      </c>
      <c r="J242" s="8" t="s">
        <v>92</v>
      </c>
      <c r="K242" s="8">
        <v>1000</v>
      </c>
      <c r="L242" s="8">
        <v>1</v>
      </c>
      <c r="M242" s="8">
        <v>1</v>
      </c>
      <c r="N242" s="64" t="s">
        <v>78</v>
      </c>
      <c r="O242" s="8">
        <v>4</v>
      </c>
      <c r="P242" s="8">
        <v>1</v>
      </c>
      <c r="Q242" s="3"/>
      <c r="R242" s="3"/>
    </row>
    <row r="243" spans="1:18" customFormat="1" x14ac:dyDescent="0.25">
      <c r="A243" s="8">
        <v>189</v>
      </c>
      <c r="B243" s="10" t="s">
        <v>263</v>
      </c>
      <c r="C243" s="8">
        <v>168</v>
      </c>
      <c r="D243" s="8">
        <v>168</v>
      </c>
      <c r="E243" s="64">
        <v>825</v>
      </c>
      <c r="F243" s="64">
        <v>825</v>
      </c>
      <c r="G243" s="8" t="s">
        <v>220</v>
      </c>
      <c r="H243" s="8">
        <v>1000</v>
      </c>
      <c r="I243" s="8" t="s">
        <v>221</v>
      </c>
      <c r="J243" s="8" t="s">
        <v>92</v>
      </c>
      <c r="K243" s="8">
        <v>100</v>
      </c>
      <c r="L243" s="8">
        <v>1</v>
      </c>
      <c r="M243" s="8">
        <v>1</v>
      </c>
      <c r="N243" s="64">
        <v>4</v>
      </c>
      <c r="O243" s="8">
        <v>9</v>
      </c>
      <c r="P243" s="8">
        <v>1</v>
      </c>
      <c r="Q243" s="3"/>
      <c r="R243" s="3"/>
    </row>
    <row r="244" spans="1:18" customFormat="1" x14ac:dyDescent="0.25">
      <c r="A244" s="8">
        <v>190</v>
      </c>
      <c r="B244" s="10" t="s">
        <v>263</v>
      </c>
      <c r="C244" s="8">
        <v>168</v>
      </c>
      <c r="D244" s="8">
        <v>168</v>
      </c>
      <c r="E244" s="64">
        <v>815</v>
      </c>
      <c r="F244" s="64">
        <v>815</v>
      </c>
      <c r="G244" s="8" t="s">
        <v>220</v>
      </c>
      <c r="H244" s="8">
        <v>500</v>
      </c>
      <c r="I244" s="8" t="s">
        <v>221</v>
      </c>
      <c r="J244" s="8" t="s">
        <v>92</v>
      </c>
      <c r="K244" s="8">
        <v>50</v>
      </c>
      <c r="L244" s="8">
        <v>1</v>
      </c>
      <c r="M244" s="8">
        <v>1</v>
      </c>
      <c r="N244" s="64">
        <v>5</v>
      </c>
      <c r="O244" s="8">
        <v>4</v>
      </c>
      <c r="P244" s="8">
        <v>2</v>
      </c>
      <c r="Q244" s="3"/>
      <c r="R244" s="3"/>
    </row>
    <row r="245" spans="1:18" customFormat="1" x14ac:dyDescent="0.25">
      <c r="A245" s="8">
        <v>191</v>
      </c>
      <c r="B245" s="10" t="s">
        <v>263</v>
      </c>
      <c r="C245" s="8">
        <v>166</v>
      </c>
      <c r="D245" s="8">
        <v>166</v>
      </c>
      <c r="E245" s="64">
        <v>932</v>
      </c>
      <c r="F245" s="64">
        <v>932</v>
      </c>
      <c r="G245" s="8" t="s">
        <v>220</v>
      </c>
      <c r="H245" s="8">
        <v>1000</v>
      </c>
      <c r="I245" s="8" t="s">
        <v>223</v>
      </c>
      <c r="J245" s="8" t="s">
        <v>85</v>
      </c>
      <c r="K245" s="8">
        <v>300</v>
      </c>
      <c r="L245" s="8">
        <v>1</v>
      </c>
      <c r="M245" s="8">
        <v>1</v>
      </c>
      <c r="N245" s="64">
        <v>4</v>
      </c>
      <c r="O245" s="8">
        <v>4</v>
      </c>
      <c r="P245" s="8">
        <v>1</v>
      </c>
      <c r="Q245" s="3"/>
      <c r="R245" s="3"/>
    </row>
    <row r="246" spans="1:18" customFormat="1" x14ac:dyDescent="0.25">
      <c r="A246" s="8">
        <v>192</v>
      </c>
      <c r="B246" s="10" t="s">
        <v>263</v>
      </c>
      <c r="C246" s="8">
        <v>166</v>
      </c>
      <c r="D246" s="8">
        <v>166</v>
      </c>
      <c r="E246" s="64">
        <v>554</v>
      </c>
      <c r="F246" s="64">
        <v>554</v>
      </c>
      <c r="G246" s="8" t="s">
        <v>220</v>
      </c>
      <c r="H246" s="8">
        <v>1000</v>
      </c>
      <c r="I246" s="8" t="s">
        <v>84</v>
      </c>
      <c r="J246" s="8" t="s">
        <v>85</v>
      </c>
      <c r="K246" s="8">
        <v>50</v>
      </c>
      <c r="L246" s="8">
        <v>1</v>
      </c>
      <c r="M246" s="8">
        <v>1</v>
      </c>
      <c r="N246" s="64" t="s">
        <v>76</v>
      </c>
      <c r="O246" s="8">
        <v>2</v>
      </c>
      <c r="P246" s="8">
        <v>2</v>
      </c>
      <c r="Q246" s="3"/>
      <c r="R246" s="3"/>
    </row>
    <row r="247" spans="1:18" customFormat="1" x14ac:dyDescent="0.25">
      <c r="A247" s="8">
        <v>193</v>
      </c>
      <c r="B247" s="10" t="s">
        <v>263</v>
      </c>
      <c r="C247" s="8">
        <v>166</v>
      </c>
      <c r="D247" s="8">
        <v>166</v>
      </c>
      <c r="E247" s="64">
        <v>594</v>
      </c>
      <c r="F247" s="64">
        <v>594</v>
      </c>
      <c r="G247" s="8" t="s">
        <v>220</v>
      </c>
      <c r="H247" s="8">
        <v>1000</v>
      </c>
      <c r="I247" s="8" t="s">
        <v>82</v>
      </c>
      <c r="J247" s="8" t="s">
        <v>85</v>
      </c>
      <c r="K247" s="8">
        <v>5</v>
      </c>
      <c r="L247" s="8">
        <v>1</v>
      </c>
      <c r="M247" s="8">
        <v>1</v>
      </c>
      <c r="N247" s="64" t="s">
        <v>227</v>
      </c>
      <c r="O247" s="8">
        <v>4</v>
      </c>
      <c r="P247" s="8">
        <v>1</v>
      </c>
      <c r="Q247" s="3"/>
      <c r="R247" s="3"/>
    </row>
    <row r="248" spans="1:18" customFormat="1" x14ac:dyDescent="0.25">
      <c r="A248" s="9">
        <v>313</v>
      </c>
      <c r="B248" s="10" t="s">
        <v>263</v>
      </c>
      <c r="C248" s="9">
        <v>168</v>
      </c>
      <c r="D248" s="9">
        <v>167</v>
      </c>
      <c r="E248" s="65">
        <v>116</v>
      </c>
      <c r="F248" s="65">
        <v>116</v>
      </c>
      <c r="G248" s="9" t="s">
        <v>220</v>
      </c>
      <c r="H248" s="9">
        <v>2000</v>
      </c>
      <c r="I248" s="9" t="s">
        <v>181</v>
      </c>
      <c r="J248" s="9" t="s">
        <v>89</v>
      </c>
      <c r="K248" s="9"/>
      <c r="L248" s="9">
        <v>1</v>
      </c>
      <c r="M248" s="9">
        <v>1</v>
      </c>
      <c r="N248" s="65" t="s">
        <v>76</v>
      </c>
      <c r="O248" s="9">
        <v>7</v>
      </c>
      <c r="P248" s="9">
        <v>4</v>
      </c>
      <c r="Q248" s="3"/>
      <c r="R248" s="3"/>
    </row>
    <row r="249" spans="1:18" s="3" customFormat="1" x14ac:dyDescent="0.25">
      <c r="A249" s="59"/>
      <c r="B249" s="59"/>
      <c r="C249" s="59"/>
      <c r="D249" s="59"/>
      <c r="E249" s="62"/>
      <c r="F249" s="62"/>
      <c r="G249" s="59"/>
      <c r="H249" s="59"/>
      <c r="I249" s="59"/>
      <c r="J249" s="59"/>
      <c r="K249" s="59"/>
      <c r="L249" s="59"/>
      <c r="M249" s="59"/>
      <c r="N249" s="62"/>
      <c r="O249" s="59"/>
      <c r="P249" s="59"/>
    </row>
    <row r="250" spans="1:18" customFormat="1" x14ac:dyDescent="0.25">
      <c r="A250" s="10">
        <v>219</v>
      </c>
      <c r="B250" s="10" t="s">
        <v>228</v>
      </c>
      <c r="C250" s="10">
        <v>165</v>
      </c>
      <c r="D250" s="10">
        <v>165</v>
      </c>
      <c r="E250" s="63">
        <v>742</v>
      </c>
      <c r="F250" s="63">
        <v>742</v>
      </c>
      <c r="G250" s="10" t="s">
        <v>229</v>
      </c>
      <c r="H250" s="10">
        <v>1000</v>
      </c>
      <c r="I250" s="10" t="s">
        <v>252</v>
      </c>
      <c r="J250" s="10" t="s">
        <v>89</v>
      </c>
      <c r="K250" s="10">
        <v>3000</v>
      </c>
      <c r="L250" s="10">
        <v>2</v>
      </c>
      <c r="M250" s="10"/>
      <c r="N250" s="63"/>
      <c r="O250" s="10">
        <v>3</v>
      </c>
      <c r="P250" s="10">
        <v>2</v>
      </c>
      <c r="Q250" s="3"/>
      <c r="R250" s="3"/>
    </row>
    <row r="251" spans="1:18" customFormat="1" x14ac:dyDescent="0.25">
      <c r="A251" s="8">
        <v>306</v>
      </c>
      <c r="B251" s="8" t="s">
        <v>228</v>
      </c>
      <c r="C251" s="8">
        <v>167</v>
      </c>
      <c r="D251" s="8">
        <v>167</v>
      </c>
      <c r="E251" s="64">
        <v>692</v>
      </c>
      <c r="F251" s="64">
        <v>692</v>
      </c>
      <c r="G251" s="8" t="s">
        <v>229</v>
      </c>
      <c r="H251" s="8">
        <v>1500</v>
      </c>
      <c r="I251" s="8" t="s">
        <v>250</v>
      </c>
      <c r="J251" s="8" t="s">
        <v>85</v>
      </c>
      <c r="K251" s="8">
        <v>300</v>
      </c>
      <c r="L251" s="8">
        <v>1</v>
      </c>
      <c r="M251" s="8">
        <v>1</v>
      </c>
      <c r="N251" s="64">
        <v>4</v>
      </c>
      <c r="O251" s="8">
        <v>6</v>
      </c>
      <c r="P251" s="8">
        <v>1</v>
      </c>
      <c r="Q251" s="3"/>
      <c r="R251" s="3"/>
    </row>
    <row r="252" spans="1:18" customFormat="1" x14ac:dyDescent="0.25">
      <c r="A252" s="8">
        <v>220</v>
      </c>
      <c r="B252" s="8" t="s">
        <v>228</v>
      </c>
      <c r="C252" s="8">
        <v>165</v>
      </c>
      <c r="D252" s="8">
        <v>167</v>
      </c>
      <c r="E252" s="64">
        <v>715</v>
      </c>
      <c r="F252" s="64">
        <v>715</v>
      </c>
      <c r="G252" s="8" t="s">
        <v>229</v>
      </c>
      <c r="H252" s="8">
        <v>1500</v>
      </c>
      <c r="I252" s="8" t="s">
        <v>251</v>
      </c>
      <c r="J252" s="8" t="s">
        <v>92</v>
      </c>
      <c r="K252" s="8">
        <v>1500</v>
      </c>
      <c r="L252" s="8">
        <v>1</v>
      </c>
      <c r="M252" s="8">
        <v>1</v>
      </c>
      <c r="N252" s="64" t="s">
        <v>76</v>
      </c>
      <c r="O252" s="8">
        <v>3</v>
      </c>
      <c r="P252" s="8">
        <v>1</v>
      </c>
      <c r="Q252" s="3"/>
      <c r="R252" s="3"/>
    </row>
    <row r="253" spans="1:18" customFormat="1" x14ac:dyDescent="0.25">
      <c r="A253" s="8">
        <v>307</v>
      </c>
      <c r="B253" s="8" t="s">
        <v>228</v>
      </c>
      <c r="C253" s="8">
        <v>165</v>
      </c>
      <c r="D253" s="8">
        <v>165</v>
      </c>
      <c r="E253" s="64">
        <v>725</v>
      </c>
      <c r="F253" s="64">
        <v>725</v>
      </c>
      <c r="G253" s="8" t="s">
        <v>229</v>
      </c>
      <c r="H253" s="8">
        <v>750</v>
      </c>
      <c r="I253" s="8" t="s">
        <v>249</v>
      </c>
      <c r="J253" s="8" t="s">
        <v>89</v>
      </c>
      <c r="K253" s="8"/>
      <c r="L253" s="8">
        <v>1</v>
      </c>
      <c r="M253" s="8">
        <v>1</v>
      </c>
      <c r="N253" s="64"/>
      <c r="O253" s="8">
        <v>4</v>
      </c>
      <c r="P253" s="8">
        <v>1</v>
      </c>
      <c r="Q253" s="3"/>
      <c r="R253" s="3"/>
    </row>
    <row r="254" spans="1:18" customFormat="1" x14ac:dyDescent="0.25">
      <c r="A254" s="8">
        <v>268</v>
      </c>
      <c r="B254" s="8" t="s">
        <v>228</v>
      </c>
      <c r="C254" s="8">
        <v>167</v>
      </c>
      <c r="D254" s="8">
        <v>167</v>
      </c>
      <c r="E254" s="64" t="s">
        <v>231</v>
      </c>
      <c r="F254" s="64">
        <v>690</v>
      </c>
      <c r="G254" s="8" t="s">
        <v>229</v>
      </c>
      <c r="H254" s="8">
        <v>3000</v>
      </c>
      <c r="I254" s="8" t="s">
        <v>250</v>
      </c>
      <c r="J254" s="8" t="s">
        <v>89</v>
      </c>
      <c r="K254" s="8">
        <v>300</v>
      </c>
      <c r="L254" s="8">
        <v>1</v>
      </c>
      <c r="M254" s="8">
        <v>1</v>
      </c>
      <c r="N254" s="64">
        <v>1</v>
      </c>
      <c r="O254" s="8">
        <v>5</v>
      </c>
      <c r="P254" s="8">
        <v>2</v>
      </c>
      <c r="Q254" s="3"/>
      <c r="R254" s="3"/>
    </row>
    <row r="255" spans="1:18" customFormat="1" x14ac:dyDescent="0.25">
      <c r="A255" s="8">
        <v>221</v>
      </c>
      <c r="B255" s="8" t="s">
        <v>228</v>
      </c>
      <c r="C255" s="8">
        <v>167</v>
      </c>
      <c r="D255" s="8">
        <v>167</v>
      </c>
      <c r="E255" s="64">
        <v>679</v>
      </c>
      <c r="F255" s="64">
        <v>679</v>
      </c>
      <c r="G255" s="8" t="s">
        <v>229</v>
      </c>
      <c r="H255" s="8">
        <v>2000</v>
      </c>
      <c r="I255" s="8" t="s">
        <v>253</v>
      </c>
      <c r="J255" s="8" t="s">
        <v>89</v>
      </c>
      <c r="K255" s="8">
        <v>1500</v>
      </c>
      <c r="L255" s="8">
        <v>2</v>
      </c>
      <c r="M255" s="8"/>
      <c r="N255" s="64"/>
      <c r="O255" s="8">
        <v>4</v>
      </c>
      <c r="P255" s="8">
        <v>4</v>
      </c>
      <c r="Q255" s="3"/>
      <c r="R255" s="3"/>
    </row>
    <row r="256" spans="1:18" customFormat="1" x14ac:dyDescent="0.25">
      <c r="A256" s="8">
        <v>222</v>
      </c>
      <c r="B256" s="8" t="s">
        <v>228</v>
      </c>
      <c r="C256" s="8">
        <v>167</v>
      </c>
      <c r="D256" s="8">
        <v>167</v>
      </c>
      <c r="E256" s="64" t="s">
        <v>232</v>
      </c>
      <c r="F256" s="64">
        <v>689</v>
      </c>
      <c r="G256" s="8" t="s">
        <v>229</v>
      </c>
      <c r="H256" s="8">
        <v>1000</v>
      </c>
      <c r="I256" s="8" t="s">
        <v>233</v>
      </c>
      <c r="J256" s="8" t="s">
        <v>92</v>
      </c>
      <c r="K256" s="8">
        <v>250</v>
      </c>
      <c r="L256" s="8">
        <v>2</v>
      </c>
      <c r="M256" s="8"/>
      <c r="N256" s="64"/>
      <c r="O256" s="8">
        <v>7</v>
      </c>
      <c r="P256" s="8">
        <v>3</v>
      </c>
      <c r="Q256" s="3"/>
      <c r="R256" s="3"/>
    </row>
    <row r="257" spans="1:18" customFormat="1" x14ac:dyDescent="0.25">
      <c r="A257" s="8">
        <v>223</v>
      </c>
      <c r="B257" s="8" t="s">
        <v>228</v>
      </c>
      <c r="C257" s="8">
        <v>167</v>
      </c>
      <c r="D257" s="8">
        <v>167</v>
      </c>
      <c r="E257" s="64">
        <v>690</v>
      </c>
      <c r="F257" s="64">
        <v>690</v>
      </c>
      <c r="G257" s="8" t="s">
        <v>229</v>
      </c>
      <c r="H257" s="8">
        <v>500</v>
      </c>
      <c r="I257" s="8" t="s">
        <v>234</v>
      </c>
      <c r="J257" s="8" t="s">
        <v>89</v>
      </c>
      <c r="K257" s="8">
        <v>150</v>
      </c>
      <c r="L257" s="8">
        <v>2</v>
      </c>
      <c r="M257" s="8"/>
      <c r="N257" s="64"/>
      <c r="O257" s="8">
        <v>7</v>
      </c>
      <c r="P257" s="8">
        <v>2</v>
      </c>
      <c r="Q257" s="3"/>
      <c r="R257" s="3"/>
    </row>
    <row r="258" spans="1:18" customFormat="1" x14ac:dyDescent="0.25">
      <c r="A258" s="8">
        <v>224</v>
      </c>
      <c r="B258" s="8" t="s">
        <v>228</v>
      </c>
      <c r="C258" s="8">
        <v>167</v>
      </c>
      <c r="D258" s="8">
        <v>167</v>
      </c>
      <c r="E258" s="64">
        <v>693</v>
      </c>
      <c r="F258" s="64">
        <v>693</v>
      </c>
      <c r="G258" s="8" t="s">
        <v>229</v>
      </c>
      <c r="H258" s="8">
        <v>500</v>
      </c>
      <c r="I258" s="8" t="s">
        <v>235</v>
      </c>
      <c r="J258" s="8" t="s">
        <v>85</v>
      </c>
      <c r="K258" s="8">
        <v>100</v>
      </c>
      <c r="L258" s="8">
        <v>1</v>
      </c>
      <c r="M258" s="8">
        <v>1</v>
      </c>
      <c r="N258" s="64" t="s">
        <v>76</v>
      </c>
      <c r="O258" s="8">
        <v>5</v>
      </c>
      <c r="P258" s="8">
        <v>1</v>
      </c>
      <c r="Q258" s="3"/>
      <c r="R258" s="3"/>
    </row>
    <row r="259" spans="1:18" customFormat="1" x14ac:dyDescent="0.25">
      <c r="A259" s="8">
        <v>225</v>
      </c>
      <c r="B259" s="8" t="s">
        <v>228</v>
      </c>
      <c r="C259" s="8">
        <v>167</v>
      </c>
      <c r="D259" s="8">
        <v>167</v>
      </c>
      <c r="E259" s="64">
        <v>685</v>
      </c>
      <c r="F259" s="64">
        <v>685</v>
      </c>
      <c r="G259" s="8" t="s">
        <v>229</v>
      </c>
      <c r="H259" s="8">
        <v>1000</v>
      </c>
      <c r="I259" s="8" t="s">
        <v>253</v>
      </c>
      <c r="J259" s="8" t="s">
        <v>92</v>
      </c>
      <c r="K259" s="8">
        <v>500</v>
      </c>
      <c r="L259" s="8">
        <v>1</v>
      </c>
      <c r="M259" s="8">
        <v>2</v>
      </c>
      <c r="N259" s="64">
        <v>5</v>
      </c>
      <c r="O259" s="8">
        <v>7</v>
      </c>
      <c r="P259" s="8">
        <v>1</v>
      </c>
      <c r="Q259" s="3"/>
      <c r="R259" s="3"/>
    </row>
    <row r="260" spans="1:18" customFormat="1" x14ac:dyDescent="0.25">
      <c r="A260" s="8">
        <v>308</v>
      </c>
      <c r="B260" s="8" t="s">
        <v>228</v>
      </c>
      <c r="C260" s="8">
        <v>167</v>
      </c>
      <c r="D260" s="8">
        <v>167</v>
      </c>
      <c r="E260" s="64">
        <v>696</v>
      </c>
      <c r="F260" s="64">
        <v>696</v>
      </c>
      <c r="G260" s="8" t="s">
        <v>229</v>
      </c>
      <c r="H260" s="8">
        <v>500</v>
      </c>
      <c r="I260" s="8" t="s">
        <v>235</v>
      </c>
      <c r="J260" s="8" t="s">
        <v>85</v>
      </c>
      <c r="K260" s="8">
        <v>50</v>
      </c>
      <c r="L260" s="8">
        <v>1</v>
      </c>
      <c r="M260" s="8">
        <v>1</v>
      </c>
      <c r="N260" s="64">
        <v>4</v>
      </c>
      <c r="O260" s="8">
        <v>4</v>
      </c>
      <c r="P260" s="8">
        <v>3</v>
      </c>
      <c r="Q260" s="3"/>
      <c r="R260" s="3"/>
    </row>
    <row r="261" spans="1:18" customFormat="1" x14ac:dyDescent="0.25">
      <c r="A261" s="8">
        <v>309</v>
      </c>
      <c r="B261" s="8" t="s">
        <v>228</v>
      </c>
      <c r="C261" s="8">
        <v>167</v>
      </c>
      <c r="D261" s="8">
        <v>167</v>
      </c>
      <c r="E261" s="64">
        <v>689</v>
      </c>
      <c r="F261" s="64">
        <v>689</v>
      </c>
      <c r="G261" s="8" t="s">
        <v>229</v>
      </c>
      <c r="H261" s="8">
        <v>1000</v>
      </c>
      <c r="I261" s="8" t="s">
        <v>254</v>
      </c>
      <c r="J261" s="8" t="s">
        <v>92</v>
      </c>
      <c r="K261" s="8">
        <v>60</v>
      </c>
      <c r="L261" s="8">
        <v>1</v>
      </c>
      <c r="M261" s="8">
        <v>1</v>
      </c>
      <c r="N261" s="64">
        <v>4</v>
      </c>
      <c r="O261" s="8">
        <v>3</v>
      </c>
      <c r="P261" s="8">
        <v>2</v>
      </c>
      <c r="Q261" s="3"/>
      <c r="R261" s="3"/>
    </row>
    <row r="262" spans="1:18" customFormat="1" x14ac:dyDescent="0.25">
      <c r="A262" s="8">
        <v>310</v>
      </c>
      <c r="B262" s="8" t="s">
        <v>228</v>
      </c>
      <c r="C262" s="8">
        <v>167</v>
      </c>
      <c r="D262" s="8">
        <v>167</v>
      </c>
      <c r="E262" s="64" t="s">
        <v>236</v>
      </c>
      <c r="F262" s="64" t="s">
        <v>236</v>
      </c>
      <c r="G262" s="8" t="s">
        <v>229</v>
      </c>
      <c r="H262" s="8">
        <v>1500</v>
      </c>
      <c r="I262" s="8" t="s">
        <v>255</v>
      </c>
      <c r="J262" s="8" t="s">
        <v>89</v>
      </c>
      <c r="K262" s="8">
        <v>50</v>
      </c>
      <c r="L262" s="8">
        <v>1</v>
      </c>
      <c r="M262" s="8">
        <v>1</v>
      </c>
      <c r="N262" s="64">
        <v>4</v>
      </c>
      <c r="O262" s="8">
        <v>4</v>
      </c>
      <c r="P262" s="8">
        <v>1</v>
      </c>
      <c r="Q262" s="3"/>
      <c r="R262" s="3"/>
    </row>
    <row r="263" spans="1:18" customFormat="1" x14ac:dyDescent="0.25">
      <c r="A263" s="8">
        <v>311</v>
      </c>
      <c r="B263" s="8" t="s">
        <v>228</v>
      </c>
      <c r="C263" s="8">
        <v>167</v>
      </c>
      <c r="D263" s="8">
        <v>167</v>
      </c>
      <c r="E263" s="64">
        <v>668</v>
      </c>
      <c r="F263" s="64">
        <v>668</v>
      </c>
      <c r="G263" s="8" t="s">
        <v>229</v>
      </c>
      <c r="H263" s="8">
        <v>1000</v>
      </c>
      <c r="I263" s="8" t="s">
        <v>253</v>
      </c>
      <c r="J263" s="8" t="s">
        <v>92</v>
      </c>
      <c r="K263" s="8">
        <v>500</v>
      </c>
      <c r="L263" s="8">
        <v>1</v>
      </c>
      <c r="M263" s="8">
        <v>1</v>
      </c>
      <c r="N263" s="64">
        <v>4</v>
      </c>
      <c r="O263" s="8">
        <v>5</v>
      </c>
      <c r="P263" s="8">
        <v>2</v>
      </c>
      <c r="Q263" s="3"/>
      <c r="R263" s="3"/>
    </row>
    <row r="264" spans="1:18" customFormat="1" x14ac:dyDescent="0.25">
      <c r="A264" s="9">
        <v>312</v>
      </c>
      <c r="B264" s="9" t="s">
        <v>228</v>
      </c>
      <c r="C264" s="9">
        <v>167</v>
      </c>
      <c r="D264" s="9">
        <v>167</v>
      </c>
      <c r="E264" s="65">
        <v>700</v>
      </c>
      <c r="F264" s="65">
        <v>700</v>
      </c>
      <c r="G264" s="9" t="s">
        <v>229</v>
      </c>
      <c r="H264" s="9">
        <v>250</v>
      </c>
      <c r="I264" s="9" t="s">
        <v>233</v>
      </c>
      <c r="J264" s="9" t="s">
        <v>85</v>
      </c>
      <c r="K264" s="9">
        <v>200</v>
      </c>
      <c r="L264" s="9">
        <v>1</v>
      </c>
      <c r="M264" s="9">
        <v>1</v>
      </c>
      <c r="N264" s="65">
        <v>4</v>
      </c>
      <c r="O264" s="9">
        <v>4</v>
      </c>
      <c r="P264" s="9">
        <v>2</v>
      </c>
      <c r="Q264" s="3"/>
      <c r="R264" s="3"/>
    </row>
    <row r="265" spans="1:18" s="3" customFormat="1" x14ac:dyDescent="0.25">
      <c r="A265" s="59"/>
      <c r="B265" s="59"/>
      <c r="C265" s="59"/>
      <c r="D265" s="59"/>
      <c r="E265" s="62"/>
      <c r="F265" s="62"/>
      <c r="G265" s="59"/>
      <c r="H265" s="59"/>
      <c r="I265" s="59"/>
      <c r="J265" s="59"/>
      <c r="K265" s="59"/>
      <c r="L265" s="59"/>
      <c r="M265" s="59"/>
      <c r="N265" s="62"/>
      <c r="O265" s="59"/>
      <c r="P265" s="59"/>
    </row>
    <row r="266" spans="1:18" customFormat="1" x14ac:dyDescent="0.25">
      <c r="A266" s="10">
        <v>194</v>
      </c>
      <c r="B266" s="10" t="s">
        <v>237</v>
      </c>
      <c r="C266" s="10" t="s">
        <v>238</v>
      </c>
      <c r="D266" s="10">
        <v>167</v>
      </c>
      <c r="E266" s="63">
        <v>11</v>
      </c>
      <c r="F266" s="63">
        <v>882</v>
      </c>
      <c r="G266" s="10" t="s">
        <v>239</v>
      </c>
      <c r="H266" s="10">
        <v>1000</v>
      </c>
      <c r="I266" s="10" t="s">
        <v>230</v>
      </c>
      <c r="J266" s="10" t="s">
        <v>85</v>
      </c>
      <c r="K266" s="10">
        <v>800</v>
      </c>
      <c r="L266" s="10">
        <v>1</v>
      </c>
      <c r="M266" s="10">
        <v>1</v>
      </c>
      <c r="N266" s="63">
        <v>4</v>
      </c>
      <c r="O266" s="10">
        <v>3</v>
      </c>
      <c r="P266" s="10">
        <v>1</v>
      </c>
      <c r="Q266" s="5"/>
      <c r="R266" s="5"/>
    </row>
    <row r="267" spans="1:18" customFormat="1" x14ac:dyDescent="0.25">
      <c r="A267" s="8">
        <v>195</v>
      </c>
      <c r="B267" s="8" t="s">
        <v>237</v>
      </c>
      <c r="C267" s="8" t="s">
        <v>240</v>
      </c>
      <c r="D267" s="8">
        <v>167</v>
      </c>
      <c r="E267" s="64" t="s">
        <v>241</v>
      </c>
      <c r="F267" s="64">
        <v>887</v>
      </c>
      <c r="G267" s="8" t="s">
        <v>239</v>
      </c>
      <c r="H267" s="8">
        <v>800</v>
      </c>
      <c r="I267" s="8" t="s">
        <v>230</v>
      </c>
      <c r="J267" s="8" t="s">
        <v>85</v>
      </c>
      <c r="K267" s="8">
        <v>300</v>
      </c>
      <c r="L267" s="8">
        <v>1</v>
      </c>
      <c r="M267" s="8">
        <v>1</v>
      </c>
      <c r="N267" s="64">
        <v>5</v>
      </c>
      <c r="O267" s="8">
        <v>2</v>
      </c>
      <c r="P267" s="8">
        <v>1</v>
      </c>
      <c r="Q267" s="5"/>
      <c r="R267" s="5"/>
    </row>
    <row r="268" spans="1:18" customFormat="1" x14ac:dyDescent="0.25">
      <c r="A268" s="8">
        <v>181</v>
      </c>
      <c r="B268" s="8" t="s">
        <v>237</v>
      </c>
      <c r="C268" s="8">
        <v>168</v>
      </c>
      <c r="D268" s="8">
        <v>167</v>
      </c>
      <c r="E268" s="64">
        <v>867</v>
      </c>
      <c r="F268" s="64">
        <v>972</v>
      </c>
      <c r="G268" s="8" t="s">
        <v>239</v>
      </c>
      <c r="H268" s="8">
        <v>750</v>
      </c>
      <c r="I268" s="8" t="s">
        <v>239</v>
      </c>
      <c r="J268" s="8" t="s">
        <v>89</v>
      </c>
      <c r="K268" s="8">
        <v>2</v>
      </c>
      <c r="L268" s="8">
        <v>2</v>
      </c>
      <c r="M268" s="8"/>
      <c r="N268" s="64"/>
      <c r="O268" s="8">
        <v>7</v>
      </c>
      <c r="P268" s="8">
        <v>2</v>
      </c>
      <c r="Q268" s="5"/>
      <c r="R268" s="5"/>
    </row>
    <row r="269" spans="1:18" customFormat="1" x14ac:dyDescent="0.25">
      <c r="A269" s="8">
        <v>183</v>
      </c>
      <c r="B269" s="8" t="s">
        <v>237</v>
      </c>
      <c r="C269" s="8">
        <v>167</v>
      </c>
      <c r="D269" s="8">
        <v>169</v>
      </c>
      <c r="E269" s="64" t="s">
        <v>242</v>
      </c>
      <c r="F269" s="64">
        <v>709</v>
      </c>
      <c r="G269" s="8" t="s">
        <v>239</v>
      </c>
      <c r="H269" s="8">
        <v>1000</v>
      </c>
      <c r="I269" s="8" t="s">
        <v>239</v>
      </c>
      <c r="J269" s="8" t="s">
        <v>89</v>
      </c>
      <c r="K269" s="8">
        <v>1</v>
      </c>
      <c r="L269" s="8">
        <v>1</v>
      </c>
      <c r="M269" s="8">
        <v>1</v>
      </c>
      <c r="N269" s="64">
        <v>4</v>
      </c>
      <c r="O269" s="8">
        <v>3</v>
      </c>
      <c r="P269" s="8">
        <v>2</v>
      </c>
      <c r="Q269" s="5"/>
      <c r="R269" s="5"/>
    </row>
    <row r="270" spans="1:18" customFormat="1" x14ac:dyDescent="0.25">
      <c r="A270" s="8">
        <v>180</v>
      </c>
      <c r="B270" s="8" t="s">
        <v>237</v>
      </c>
      <c r="C270" s="8">
        <v>168</v>
      </c>
      <c r="D270" s="8">
        <v>168</v>
      </c>
      <c r="E270" s="64" t="s">
        <v>243</v>
      </c>
      <c r="F270" s="64">
        <v>960</v>
      </c>
      <c r="G270" s="8" t="s">
        <v>239</v>
      </c>
      <c r="H270" s="8">
        <v>1000</v>
      </c>
      <c r="I270" s="8" t="s">
        <v>256</v>
      </c>
      <c r="J270" s="8" t="s">
        <v>92</v>
      </c>
      <c r="K270" s="8">
        <v>100</v>
      </c>
      <c r="L270" s="8">
        <v>2</v>
      </c>
      <c r="M270" s="8"/>
      <c r="N270" s="64"/>
      <c r="O270" s="8">
        <v>5</v>
      </c>
      <c r="P270" s="8">
        <v>2</v>
      </c>
      <c r="Q270" s="5"/>
      <c r="R270" s="5"/>
    </row>
    <row r="271" spans="1:18" customFormat="1" x14ac:dyDescent="0.25">
      <c r="A271" s="8">
        <v>178</v>
      </c>
      <c r="B271" s="8" t="s">
        <v>237</v>
      </c>
      <c r="C271" s="8">
        <v>168</v>
      </c>
      <c r="D271" s="8">
        <v>167</v>
      </c>
      <c r="E271" s="64" t="s">
        <v>244</v>
      </c>
      <c r="F271" s="64" t="s">
        <v>244</v>
      </c>
      <c r="G271" s="8" t="s">
        <v>239</v>
      </c>
      <c r="H271" s="8">
        <v>1000</v>
      </c>
      <c r="I271" s="8" t="s">
        <v>256</v>
      </c>
      <c r="J271" s="8" t="s">
        <v>92</v>
      </c>
      <c r="K271" s="8">
        <v>300</v>
      </c>
      <c r="L271" s="8">
        <v>2</v>
      </c>
      <c r="M271" s="8"/>
      <c r="N271" s="64"/>
      <c r="O271" s="8">
        <v>5</v>
      </c>
      <c r="P271" s="8">
        <v>1</v>
      </c>
      <c r="Q271" s="5"/>
      <c r="R271" s="5"/>
    </row>
    <row r="272" spans="1:18" customFormat="1" x14ac:dyDescent="0.25">
      <c r="A272" s="8">
        <v>179</v>
      </c>
      <c r="B272" s="8" t="s">
        <v>237</v>
      </c>
      <c r="C272" s="8">
        <v>167</v>
      </c>
      <c r="D272" s="8">
        <v>169</v>
      </c>
      <c r="E272" s="64">
        <v>895</v>
      </c>
      <c r="F272" s="64">
        <v>895</v>
      </c>
      <c r="G272" s="8" t="s">
        <v>239</v>
      </c>
      <c r="H272" s="8">
        <v>2000</v>
      </c>
      <c r="I272" s="8" t="s">
        <v>239</v>
      </c>
      <c r="J272" s="8" t="s">
        <v>89</v>
      </c>
      <c r="K272" s="8"/>
      <c r="L272" s="8">
        <v>1</v>
      </c>
      <c r="M272" s="8">
        <v>1</v>
      </c>
      <c r="N272" s="64">
        <v>4</v>
      </c>
      <c r="O272" s="8">
        <v>6</v>
      </c>
      <c r="P272" s="8">
        <v>3</v>
      </c>
      <c r="Q272" s="5"/>
      <c r="R272" s="5"/>
    </row>
    <row r="273" spans="1:18" customFormat="1" x14ac:dyDescent="0.25">
      <c r="A273" s="8">
        <v>182</v>
      </c>
      <c r="B273" s="8" t="s">
        <v>237</v>
      </c>
      <c r="C273" s="8">
        <v>168</v>
      </c>
      <c r="D273" s="8">
        <v>167</v>
      </c>
      <c r="E273" s="64">
        <v>865</v>
      </c>
      <c r="F273" s="64">
        <v>945</v>
      </c>
      <c r="G273" s="8" t="s">
        <v>239</v>
      </c>
      <c r="H273" s="8">
        <v>1500</v>
      </c>
      <c r="I273" s="8" t="s">
        <v>230</v>
      </c>
      <c r="J273" s="8" t="s">
        <v>85</v>
      </c>
      <c r="K273" s="8">
        <v>200</v>
      </c>
      <c r="L273" s="8">
        <v>1</v>
      </c>
      <c r="M273" s="8">
        <v>1</v>
      </c>
      <c r="N273" s="64">
        <v>4</v>
      </c>
      <c r="O273" s="8">
        <v>5</v>
      </c>
      <c r="P273" s="8">
        <v>1</v>
      </c>
      <c r="Q273" s="5"/>
      <c r="R273" s="5"/>
    </row>
    <row r="274" spans="1:18" customFormat="1" x14ac:dyDescent="0.25">
      <c r="A274" s="8">
        <v>79</v>
      </c>
      <c r="B274" s="8" t="s">
        <v>237</v>
      </c>
      <c r="C274" s="8">
        <v>165</v>
      </c>
      <c r="D274" s="8">
        <v>165</v>
      </c>
      <c r="E274" s="64" t="s">
        <v>245</v>
      </c>
      <c r="F274" s="64">
        <v>872</v>
      </c>
      <c r="G274" s="8" t="s">
        <v>239</v>
      </c>
      <c r="H274" s="8">
        <v>1500</v>
      </c>
      <c r="I274" s="8" t="s">
        <v>256</v>
      </c>
      <c r="J274" s="8" t="s">
        <v>92</v>
      </c>
      <c r="K274" s="8">
        <v>10</v>
      </c>
      <c r="L274" s="8">
        <v>2</v>
      </c>
      <c r="M274" s="8"/>
      <c r="N274" s="64"/>
      <c r="O274" s="8">
        <v>5</v>
      </c>
      <c r="P274" s="8">
        <v>1</v>
      </c>
      <c r="Q274" s="5"/>
      <c r="R274" s="5"/>
    </row>
    <row r="275" spans="1:18" customFormat="1" x14ac:dyDescent="0.25">
      <c r="A275" s="8">
        <v>80</v>
      </c>
      <c r="B275" s="8" t="s">
        <v>237</v>
      </c>
      <c r="C275" s="8">
        <v>168</v>
      </c>
      <c r="D275" s="8">
        <v>169</v>
      </c>
      <c r="E275" s="64">
        <v>877</v>
      </c>
      <c r="F275" s="64">
        <v>877</v>
      </c>
      <c r="G275" s="8" t="s">
        <v>239</v>
      </c>
      <c r="H275" s="8">
        <v>1500</v>
      </c>
      <c r="I275" s="8" t="s">
        <v>239</v>
      </c>
      <c r="J275" s="8" t="s">
        <v>89</v>
      </c>
      <c r="K275" s="8">
        <v>700</v>
      </c>
      <c r="L275" s="8">
        <v>2</v>
      </c>
      <c r="M275" s="8"/>
      <c r="N275" s="64"/>
      <c r="O275" s="8">
        <v>3</v>
      </c>
      <c r="P275" s="8">
        <v>2</v>
      </c>
      <c r="Q275" s="5"/>
      <c r="R275" s="5"/>
    </row>
    <row r="276" spans="1:18" customFormat="1" x14ac:dyDescent="0.25">
      <c r="A276" s="8">
        <v>77</v>
      </c>
      <c r="B276" s="8" t="s">
        <v>237</v>
      </c>
      <c r="C276" s="8">
        <v>167</v>
      </c>
      <c r="D276" s="8">
        <v>167</v>
      </c>
      <c r="E276" s="64" t="s">
        <v>246</v>
      </c>
      <c r="F276" s="64">
        <v>874</v>
      </c>
      <c r="G276" s="8" t="s">
        <v>239</v>
      </c>
      <c r="H276" s="8">
        <v>3000</v>
      </c>
      <c r="I276" s="8" t="s">
        <v>256</v>
      </c>
      <c r="J276" s="8" t="s">
        <v>92</v>
      </c>
      <c r="K276" s="8">
        <v>800</v>
      </c>
      <c r="L276" s="8">
        <v>2</v>
      </c>
      <c r="M276" s="8"/>
      <c r="N276" s="64"/>
      <c r="O276" s="8">
        <v>5</v>
      </c>
      <c r="P276" s="8">
        <v>1</v>
      </c>
      <c r="Q276" s="5"/>
      <c r="R276" s="5"/>
    </row>
    <row r="277" spans="1:18" customFormat="1" x14ac:dyDescent="0.25">
      <c r="A277" s="8">
        <v>78</v>
      </c>
      <c r="B277" s="8" t="s">
        <v>237</v>
      </c>
      <c r="C277" s="8">
        <v>167</v>
      </c>
      <c r="D277" s="8">
        <v>167</v>
      </c>
      <c r="E277" s="64">
        <v>13</v>
      </c>
      <c r="F277" s="64">
        <v>888</v>
      </c>
      <c r="G277" s="8" t="s">
        <v>239</v>
      </c>
      <c r="H277" s="8">
        <v>1500</v>
      </c>
      <c r="I277" s="8" t="s">
        <v>239</v>
      </c>
      <c r="J277" s="8" t="s">
        <v>89</v>
      </c>
      <c r="K277" s="8">
        <v>5</v>
      </c>
      <c r="L277" s="8">
        <v>2</v>
      </c>
      <c r="M277" s="8"/>
      <c r="N277" s="64"/>
      <c r="O277" s="8">
        <v>4</v>
      </c>
      <c r="P277" s="8">
        <v>2</v>
      </c>
      <c r="Q277" s="5"/>
      <c r="R277" s="5"/>
    </row>
    <row r="278" spans="1:18" customFormat="1" x14ac:dyDescent="0.25">
      <c r="A278" s="8">
        <v>76</v>
      </c>
      <c r="B278" s="8" t="s">
        <v>237</v>
      </c>
      <c r="C278" s="8">
        <v>168</v>
      </c>
      <c r="D278" s="8">
        <v>167</v>
      </c>
      <c r="E278" s="64" t="s">
        <v>247</v>
      </c>
      <c r="F278" s="64" t="s">
        <v>247</v>
      </c>
      <c r="G278" s="8" t="s">
        <v>239</v>
      </c>
      <c r="H278" s="8">
        <v>200</v>
      </c>
      <c r="I278" s="8" t="s">
        <v>256</v>
      </c>
      <c r="J278" s="8" t="s">
        <v>92</v>
      </c>
      <c r="K278" s="8">
        <v>5</v>
      </c>
      <c r="L278" s="8">
        <v>1</v>
      </c>
      <c r="M278" s="8">
        <v>2</v>
      </c>
      <c r="N278" s="64">
        <v>2</v>
      </c>
      <c r="O278" s="8">
        <v>3</v>
      </c>
      <c r="P278" s="8">
        <v>2</v>
      </c>
      <c r="Q278" s="5"/>
      <c r="R278" s="5"/>
    </row>
    <row r="279" spans="1:18" s="3" customFormat="1" x14ac:dyDescent="0.25">
      <c r="A279" s="6">
        <v>94</v>
      </c>
      <c r="B279" s="6" t="s">
        <v>237</v>
      </c>
      <c r="C279" s="6">
        <v>169</v>
      </c>
      <c r="D279" s="6">
        <v>169</v>
      </c>
      <c r="E279" s="60">
        <v>884</v>
      </c>
      <c r="F279" s="60">
        <v>884</v>
      </c>
      <c r="G279" s="6" t="s">
        <v>239</v>
      </c>
      <c r="H279" s="6">
        <v>500</v>
      </c>
      <c r="I279" s="6" t="s">
        <v>230</v>
      </c>
      <c r="J279" s="6" t="s">
        <v>85</v>
      </c>
      <c r="K279" s="6">
        <v>2</v>
      </c>
      <c r="L279" s="6">
        <v>1</v>
      </c>
      <c r="M279" s="6">
        <v>1</v>
      </c>
      <c r="N279" s="60">
        <v>2</v>
      </c>
      <c r="O279" s="6">
        <v>4</v>
      </c>
      <c r="P279" s="6">
        <v>2</v>
      </c>
    </row>
    <row r="280" spans="1:18" x14ac:dyDescent="0.25">
      <c r="A280" s="9">
        <v>93</v>
      </c>
      <c r="B280" s="9" t="s">
        <v>237</v>
      </c>
      <c r="C280" s="9">
        <v>169</v>
      </c>
      <c r="D280" s="9">
        <v>169</v>
      </c>
      <c r="E280" s="65">
        <v>892</v>
      </c>
      <c r="F280" s="61">
        <v>892</v>
      </c>
      <c r="G280" s="9" t="s">
        <v>239</v>
      </c>
      <c r="H280" s="7">
        <v>100</v>
      </c>
      <c r="I280" s="9" t="s">
        <v>230</v>
      </c>
      <c r="J280" s="9" t="s">
        <v>85</v>
      </c>
      <c r="K280" s="9">
        <v>5</v>
      </c>
      <c r="L280" s="9">
        <v>1</v>
      </c>
      <c r="M280" s="7">
        <v>1</v>
      </c>
      <c r="N280" s="61">
        <v>2</v>
      </c>
      <c r="O280" s="7">
        <v>7</v>
      </c>
      <c r="P280" s="7">
        <v>2</v>
      </c>
    </row>
    <row r="281" spans="1:18" s="3" customFormat="1" x14ac:dyDescent="0.25">
      <c r="A281" s="59"/>
      <c r="B281" s="59"/>
      <c r="C281" s="59"/>
      <c r="D281" s="59"/>
      <c r="E281" s="62"/>
      <c r="F281" s="62"/>
      <c r="G281" s="59"/>
      <c r="H281" s="59"/>
      <c r="I281" s="59"/>
      <c r="J281" s="59"/>
      <c r="K281" s="59"/>
      <c r="L281" s="59"/>
      <c r="M281" s="59"/>
      <c r="N281" s="62"/>
      <c r="O281" s="59"/>
      <c r="P281" s="59"/>
    </row>
  </sheetData>
  <mergeCells count="10">
    <mergeCell ref="C1:D1"/>
    <mergeCell ref="E1:F1"/>
    <mergeCell ref="L1:N1"/>
    <mergeCell ref="O1:P1"/>
    <mergeCell ref="A1:A2"/>
    <mergeCell ref="H1:H2"/>
    <mergeCell ref="I1:I2"/>
    <mergeCell ref="K1:K2"/>
    <mergeCell ref="J1:J2"/>
    <mergeCell ref="G1:G2"/>
  </mergeCells>
  <pageMargins left="0.7" right="0.7" top="0.75" bottom="0.75" header="0.3" footer="0.3"/>
  <pageSetup paperSize="9" orientation="landscape" r:id="rId1"/>
  <headerFooter>
    <oddHeader>&amp;C&amp;"Century,Regular"&amp;10Annexure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2"/>
  <sheetViews>
    <sheetView view="pageLayout" zoomScaleNormal="85" workbookViewId="0">
      <selection activeCell="F3" sqref="F1:G1048576"/>
    </sheetView>
  </sheetViews>
  <sheetFormatPr defaultRowHeight="12.75" x14ac:dyDescent="0.2"/>
  <cols>
    <col min="1" max="1" width="8.42578125" style="19" customWidth="1"/>
    <col min="2" max="2" width="9.28515625" style="19" customWidth="1"/>
    <col min="3" max="3" width="8.140625" style="19" customWidth="1"/>
    <col min="4" max="4" width="5" style="19" customWidth="1"/>
    <col min="5" max="5" width="4.42578125" style="19" customWidth="1"/>
    <col min="6" max="7" width="4.85546875" style="19" customWidth="1"/>
    <col min="8" max="8" width="5.5703125" style="19" customWidth="1"/>
    <col min="9" max="9" width="4.42578125" style="19" customWidth="1"/>
    <col min="10" max="10" width="4.28515625" style="19" customWidth="1"/>
    <col min="11" max="11" width="4.7109375" style="19" customWidth="1"/>
    <col min="12" max="12" width="9.5703125" style="19" customWidth="1"/>
    <col min="13" max="13" width="8.140625" style="19" customWidth="1"/>
    <col min="14" max="14" width="4.5703125" style="19" customWidth="1"/>
    <col min="15" max="15" width="4.7109375" style="19" customWidth="1"/>
    <col min="16" max="17" width="5" style="19" customWidth="1"/>
    <col min="18" max="18" width="4.7109375" style="19" customWidth="1"/>
    <col min="19" max="19" width="5.28515625" style="19" customWidth="1"/>
    <col min="20" max="20" width="4.28515625" style="19" customWidth="1"/>
    <col min="21" max="21" width="4.7109375" style="19" customWidth="1"/>
    <col min="22" max="22" width="9.7109375" style="19" customWidth="1"/>
    <col min="23" max="23" width="8.7109375" style="19" customWidth="1"/>
    <col min="24" max="24" width="4.85546875" style="19" customWidth="1"/>
    <col min="25" max="25" width="5.140625" style="19" customWidth="1"/>
    <col min="26" max="26" width="4.7109375" style="19" customWidth="1"/>
    <col min="27" max="27" width="4.42578125" style="19" customWidth="1"/>
    <col min="28" max="29" width="4.7109375" style="19" customWidth="1"/>
    <col min="30" max="31" width="5.28515625" style="19" customWidth="1"/>
    <col min="32" max="16384" width="9.140625" style="19"/>
  </cols>
  <sheetData>
    <row r="1" spans="1:31" ht="15" customHeight="1" x14ac:dyDescent="0.2">
      <c r="A1" s="78" t="s">
        <v>3</v>
      </c>
      <c r="B1" s="78" t="s">
        <v>4</v>
      </c>
      <c r="C1" s="78"/>
      <c r="D1" s="78"/>
      <c r="E1" s="78"/>
      <c r="F1" s="78"/>
      <c r="G1" s="78"/>
      <c r="H1" s="78"/>
      <c r="I1" s="78"/>
      <c r="J1" s="78"/>
      <c r="K1" s="78"/>
      <c r="L1" s="78" t="s">
        <v>5</v>
      </c>
      <c r="M1" s="78"/>
      <c r="N1" s="78"/>
      <c r="O1" s="78"/>
      <c r="P1" s="78"/>
      <c r="Q1" s="78"/>
      <c r="R1" s="78"/>
      <c r="S1" s="78"/>
      <c r="T1" s="78"/>
      <c r="U1" s="78"/>
      <c r="V1" s="78" t="s">
        <v>6</v>
      </c>
      <c r="W1" s="78"/>
      <c r="X1" s="78"/>
      <c r="Y1" s="78"/>
      <c r="Z1" s="78"/>
      <c r="AA1" s="78"/>
      <c r="AB1" s="78"/>
      <c r="AC1" s="78"/>
      <c r="AD1" s="78"/>
      <c r="AE1" s="78"/>
    </row>
    <row r="2" spans="1:31" ht="27" customHeight="1" x14ac:dyDescent="0.2">
      <c r="A2" s="78"/>
      <c r="B2" s="78" t="s">
        <v>7</v>
      </c>
      <c r="C2" s="78" t="s">
        <v>8</v>
      </c>
      <c r="D2" s="78" t="s">
        <v>9</v>
      </c>
      <c r="E2" s="78"/>
      <c r="F2" s="78" t="s">
        <v>12</v>
      </c>
      <c r="G2" s="78"/>
      <c r="H2" s="78"/>
      <c r="I2" s="78"/>
      <c r="J2" s="78"/>
      <c r="K2" s="78"/>
      <c r="L2" s="78" t="s">
        <v>7</v>
      </c>
      <c r="M2" s="78" t="s">
        <v>8</v>
      </c>
      <c r="N2" s="78" t="s">
        <v>9</v>
      </c>
      <c r="O2" s="78"/>
      <c r="P2" s="78" t="s">
        <v>12</v>
      </c>
      <c r="Q2" s="78"/>
      <c r="R2" s="78"/>
      <c r="S2" s="78"/>
      <c r="T2" s="78"/>
      <c r="U2" s="78"/>
      <c r="V2" s="78" t="s">
        <v>7</v>
      </c>
      <c r="W2" s="78" t="s">
        <v>8</v>
      </c>
      <c r="X2" s="78" t="s">
        <v>9</v>
      </c>
      <c r="Y2" s="78"/>
      <c r="Z2" s="78" t="s">
        <v>12</v>
      </c>
      <c r="AA2" s="78"/>
      <c r="AB2" s="78"/>
      <c r="AC2" s="78"/>
      <c r="AD2" s="78"/>
      <c r="AE2" s="78"/>
    </row>
    <row r="3" spans="1:31" ht="59.25" x14ac:dyDescent="0.2">
      <c r="A3" s="78"/>
      <c r="B3" s="78"/>
      <c r="C3" s="78"/>
      <c r="D3" s="56" t="s">
        <v>10</v>
      </c>
      <c r="E3" s="56" t="s">
        <v>11</v>
      </c>
      <c r="F3" s="56" t="s">
        <v>13</v>
      </c>
      <c r="G3" s="56" t="s">
        <v>14</v>
      </c>
      <c r="H3" s="56" t="s">
        <v>15</v>
      </c>
      <c r="I3" s="56" t="s">
        <v>16</v>
      </c>
      <c r="J3" s="56" t="s">
        <v>17</v>
      </c>
      <c r="K3" s="56" t="s">
        <v>18</v>
      </c>
      <c r="L3" s="78"/>
      <c r="M3" s="78"/>
      <c r="N3" s="56" t="s">
        <v>10</v>
      </c>
      <c r="O3" s="56" t="s">
        <v>11</v>
      </c>
      <c r="P3" s="56" t="s">
        <v>13</v>
      </c>
      <c r="Q3" s="56" t="s">
        <v>14</v>
      </c>
      <c r="R3" s="56" t="s">
        <v>15</v>
      </c>
      <c r="S3" s="56" t="s">
        <v>16</v>
      </c>
      <c r="T3" s="56" t="s">
        <v>17</v>
      </c>
      <c r="U3" s="56" t="s">
        <v>18</v>
      </c>
      <c r="V3" s="78"/>
      <c r="W3" s="78"/>
      <c r="X3" s="56" t="s">
        <v>10</v>
      </c>
      <c r="Y3" s="56" t="s">
        <v>11</v>
      </c>
      <c r="Z3" s="56" t="s">
        <v>13</v>
      </c>
      <c r="AA3" s="56" t="s">
        <v>14</v>
      </c>
      <c r="AB3" s="56" t="s">
        <v>15</v>
      </c>
      <c r="AC3" s="56" t="s">
        <v>16</v>
      </c>
      <c r="AD3" s="56" t="s">
        <v>17</v>
      </c>
      <c r="AE3" s="56" t="s">
        <v>18</v>
      </c>
    </row>
    <row r="4" spans="1:31" x14ac:dyDescent="0.2">
      <c r="A4" s="20">
        <v>206</v>
      </c>
      <c r="B4" s="20">
        <v>2</v>
      </c>
      <c r="C4" s="20">
        <v>1</v>
      </c>
      <c r="D4" s="20">
        <v>0</v>
      </c>
      <c r="E4" s="20">
        <v>1.5</v>
      </c>
      <c r="F4" s="20">
        <v>1.5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 x14ac:dyDescent="0.2">
      <c r="A5" s="20">
        <v>207</v>
      </c>
      <c r="B5" s="20">
        <v>2</v>
      </c>
      <c r="C5" s="20">
        <v>1</v>
      </c>
      <c r="D5" s="20">
        <v>0.5</v>
      </c>
      <c r="E5" s="20">
        <v>0.5</v>
      </c>
      <c r="F5" s="20">
        <v>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1" x14ac:dyDescent="0.2">
      <c r="A6" s="20" t="s">
        <v>74</v>
      </c>
      <c r="B6" s="20">
        <v>2</v>
      </c>
      <c r="C6" s="20">
        <v>1</v>
      </c>
      <c r="D6" s="20">
        <v>1.5</v>
      </c>
      <c r="E6" s="20">
        <v>1.5</v>
      </c>
      <c r="F6" s="20">
        <v>1.75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x14ac:dyDescent="0.2">
      <c r="A7" s="20">
        <v>303</v>
      </c>
      <c r="B7" s="20">
        <v>2</v>
      </c>
      <c r="C7" s="20">
        <v>1</v>
      </c>
      <c r="D7" s="20">
        <v>2.5</v>
      </c>
      <c r="E7" s="20">
        <v>0.5</v>
      </c>
      <c r="F7" s="20">
        <v>2.5</v>
      </c>
      <c r="G7" s="20"/>
      <c r="H7" s="20"/>
      <c r="I7" s="20">
        <v>0.25</v>
      </c>
      <c r="J7" s="20">
        <v>0.25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1" x14ac:dyDescent="0.2">
      <c r="A8" s="20">
        <v>304</v>
      </c>
      <c r="B8" s="20">
        <v>2</v>
      </c>
      <c r="C8" s="20">
        <v>1</v>
      </c>
      <c r="D8" s="20">
        <v>1</v>
      </c>
      <c r="E8" s="20">
        <v>0.5</v>
      </c>
      <c r="F8" s="20">
        <v>1</v>
      </c>
      <c r="G8" s="20">
        <v>0.25</v>
      </c>
      <c r="H8" s="20"/>
      <c r="I8" s="20">
        <v>0.25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 x14ac:dyDescent="0.2">
      <c r="A9" s="20">
        <v>305</v>
      </c>
      <c r="B9" s="20">
        <v>2</v>
      </c>
      <c r="C9" s="20">
        <v>1</v>
      </c>
      <c r="D9" s="20">
        <v>0.5</v>
      </c>
      <c r="E9" s="20">
        <v>1.5</v>
      </c>
      <c r="F9" s="20">
        <v>2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>
        <v>4</v>
      </c>
      <c r="W9" s="20">
        <v>3</v>
      </c>
      <c r="X9" s="20"/>
      <c r="Y9" s="20"/>
      <c r="Z9" s="20"/>
      <c r="AA9" s="20"/>
      <c r="AB9" s="20"/>
      <c r="AC9" s="20"/>
      <c r="AD9" s="20"/>
      <c r="AE9" s="20"/>
    </row>
    <row r="10" spans="1:31" x14ac:dyDescent="0.2">
      <c r="A10" s="20">
        <v>258</v>
      </c>
      <c r="B10" s="20">
        <v>1</v>
      </c>
      <c r="C10" s="20">
        <v>1</v>
      </c>
      <c r="D10" s="20">
        <v>0.25</v>
      </c>
      <c r="E10" s="20">
        <v>1</v>
      </c>
      <c r="F10" s="20">
        <v>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>
        <v>4</v>
      </c>
      <c r="W10" s="20">
        <v>3</v>
      </c>
      <c r="X10" s="20">
        <v>0</v>
      </c>
      <c r="Y10" s="20">
        <v>0</v>
      </c>
      <c r="Z10" s="20">
        <v>0</v>
      </c>
      <c r="AA10" s="20">
        <v>0</v>
      </c>
      <c r="AB10" s="20">
        <v>1</v>
      </c>
      <c r="AC10" s="20"/>
      <c r="AD10" s="20"/>
      <c r="AE10" s="20"/>
    </row>
    <row r="11" spans="1:31" x14ac:dyDescent="0.2">
      <c r="A11" s="20">
        <v>259</v>
      </c>
      <c r="B11" s="20">
        <v>1</v>
      </c>
      <c r="C11" s="20">
        <v>1</v>
      </c>
      <c r="D11" s="20">
        <v>0.5</v>
      </c>
      <c r="E11" s="20">
        <v>2.5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 x14ac:dyDescent="0.2">
      <c r="A12" s="20">
        <v>26</v>
      </c>
      <c r="B12" s="20">
        <v>2</v>
      </c>
      <c r="C12" s="20">
        <v>1</v>
      </c>
      <c r="D12" s="20">
        <v>3</v>
      </c>
      <c r="E12" s="20">
        <v>0</v>
      </c>
      <c r="F12" s="20">
        <v>3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 x14ac:dyDescent="0.2">
      <c r="A13" s="20">
        <v>29</v>
      </c>
      <c r="B13" s="20">
        <v>2</v>
      </c>
      <c r="C13" s="20">
        <v>1</v>
      </c>
      <c r="D13" s="20">
        <v>0.5</v>
      </c>
      <c r="E13" s="20">
        <v>0.75</v>
      </c>
      <c r="F13" s="20">
        <v>1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 x14ac:dyDescent="0.2">
      <c r="A14" s="20">
        <v>127</v>
      </c>
      <c r="B14" s="20">
        <v>2</v>
      </c>
      <c r="C14" s="20">
        <v>1</v>
      </c>
      <c r="D14" s="20">
        <v>1.5</v>
      </c>
      <c r="E14" s="20">
        <v>0</v>
      </c>
      <c r="F14" s="20">
        <v>1.5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 x14ac:dyDescent="0.2">
      <c r="A15" s="20">
        <v>128</v>
      </c>
      <c r="B15" s="20">
        <v>2</v>
      </c>
      <c r="C15" s="20">
        <v>1</v>
      </c>
      <c r="D15" s="20">
        <v>0</v>
      </c>
      <c r="E15" s="20">
        <v>2.5</v>
      </c>
      <c r="F15" s="20">
        <v>2.5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x14ac:dyDescent="0.2">
      <c r="A16" s="20">
        <v>126</v>
      </c>
      <c r="B16" s="20">
        <v>2</v>
      </c>
      <c r="C16" s="20">
        <v>1</v>
      </c>
      <c r="D16" s="20">
        <v>1</v>
      </c>
      <c r="E16" s="20">
        <v>0.5</v>
      </c>
      <c r="F16" s="20">
        <v>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 x14ac:dyDescent="0.2">
      <c r="A17" s="20">
        <v>129</v>
      </c>
      <c r="B17" s="20">
        <v>3</v>
      </c>
      <c r="C17" s="20">
        <v>1</v>
      </c>
      <c r="D17" s="20">
        <v>0.5</v>
      </c>
      <c r="E17" s="20">
        <v>1</v>
      </c>
      <c r="F17" s="20">
        <v>1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 x14ac:dyDescent="0.2">
      <c r="A18" s="21">
        <v>25</v>
      </c>
      <c r="B18" s="21">
        <v>2</v>
      </c>
      <c r="C18" s="21">
        <v>1</v>
      </c>
      <c r="D18" s="21">
        <v>0.5</v>
      </c>
      <c r="E18" s="21">
        <v>2.25</v>
      </c>
      <c r="F18" s="21">
        <v>2.75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pans="1:31" x14ac:dyDescent="0.2">
      <c r="A20" s="22">
        <v>110</v>
      </c>
      <c r="B20" s="22">
        <v>2</v>
      </c>
      <c r="C20" s="22">
        <v>1</v>
      </c>
      <c r="D20" s="22">
        <v>0</v>
      </c>
      <c r="E20" s="22">
        <v>3</v>
      </c>
      <c r="F20" s="22">
        <v>1</v>
      </c>
      <c r="G20" s="22">
        <v>2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20">
        <v>111</v>
      </c>
      <c r="B21" s="20">
        <v>1</v>
      </c>
      <c r="C21" s="20">
        <v>1</v>
      </c>
      <c r="D21" s="20">
        <v>0.25</v>
      </c>
      <c r="E21" s="20">
        <v>1.25</v>
      </c>
      <c r="F21" s="20">
        <v>0</v>
      </c>
      <c r="G21" s="20">
        <v>1.5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x14ac:dyDescent="0.2">
      <c r="A22" s="20">
        <v>112</v>
      </c>
      <c r="B22" s="20">
        <v>1</v>
      </c>
      <c r="C22" s="20">
        <v>1</v>
      </c>
      <c r="D22" s="20">
        <v>0.5</v>
      </c>
      <c r="E22" s="20">
        <v>2.5</v>
      </c>
      <c r="F22" s="20">
        <v>0</v>
      </c>
      <c r="G22" s="20">
        <v>3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2">
      <c r="A23" s="20">
        <v>113</v>
      </c>
      <c r="B23" s="20">
        <v>2</v>
      </c>
      <c r="C23" s="20">
        <v>1</v>
      </c>
      <c r="D23" s="20">
        <v>1.5</v>
      </c>
      <c r="E23" s="20">
        <v>1.5</v>
      </c>
      <c r="F23" s="20">
        <v>3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x14ac:dyDescent="0.2">
      <c r="A24" s="20">
        <v>114</v>
      </c>
      <c r="B24" s="20">
        <v>2</v>
      </c>
      <c r="C24" s="20">
        <v>1</v>
      </c>
      <c r="D24" s="20">
        <v>1</v>
      </c>
      <c r="E24" s="20">
        <v>2</v>
      </c>
      <c r="F24" s="20">
        <v>1</v>
      </c>
      <c r="G24" s="20">
        <v>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 x14ac:dyDescent="0.2">
      <c r="A25" s="20">
        <v>115</v>
      </c>
      <c r="B25" s="20">
        <v>2</v>
      </c>
      <c r="C25" s="20">
        <v>1</v>
      </c>
      <c r="D25" s="20">
        <v>0.25</v>
      </c>
      <c r="E25" s="20">
        <v>1</v>
      </c>
      <c r="F25" s="20">
        <v>0.25</v>
      </c>
      <c r="G25" s="20">
        <v>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1" x14ac:dyDescent="0.2">
      <c r="A26" s="20">
        <v>116</v>
      </c>
      <c r="B26" s="20">
        <v>2</v>
      </c>
      <c r="C26" s="20">
        <v>1</v>
      </c>
      <c r="D26" s="20">
        <v>0.25</v>
      </c>
      <c r="E26" s="20">
        <v>1.25</v>
      </c>
      <c r="F26" s="20">
        <v>0.25</v>
      </c>
      <c r="G26" s="20">
        <v>1.25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 x14ac:dyDescent="0.2">
      <c r="A27" s="20">
        <v>117</v>
      </c>
      <c r="B27" s="20">
        <v>2</v>
      </c>
      <c r="C27" s="20">
        <v>1</v>
      </c>
      <c r="D27" s="20">
        <v>2</v>
      </c>
      <c r="E27" s="20">
        <v>1</v>
      </c>
      <c r="F27" s="20">
        <v>3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x14ac:dyDescent="0.2">
      <c r="A28" s="20">
        <v>118</v>
      </c>
      <c r="B28" s="20">
        <v>2</v>
      </c>
      <c r="C28" s="20">
        <v>1</v>
      </c>
      <c r="D28" s="20">
        <v>0</v>
      </c>
      <c r="E28" s="20">
        <v>2</v>
      </c>
      <c r="F28" s="20">
        <v>1</v>
      </c>
      <c r="G28" s="20"/>
      <c r="H28" s="20"/>
      <c r="I28" s="20">
        <v>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">
      <c r="A29" s="20">
        <v>119</v>
      </c>
      <c r="B29" s="20">
        <v>2</v>
      </c>
      <c r="C29" s="20">
        <v>1</v>
      </c>
      <c r="D29" s="20">
        <v>0.5</v>
      </c>
      <c r="E29" s="20">
        <v>2.5</v>
      </c>
      <c r="F29" s="20">
        <v>0.5</v>
      </c>
      <c r="G29" s="20">
        <v>2.5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x14ac:dyDescent="0.2">
      <c r="A30" s="20">
        <v>120</v>
      </c>
      <c r="B30" s="20">
        <v>3</v>
      </c>
      <c r="C30" s="20">
        <v>1</v>
      </c>
      <c r="D30" s="20">
        <v>0</v>
      </c>
      <c r="E30" s="20">
        <v>1.5</v>
      </c>
      <c r="F30" s="20">
        <v>1.5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 x14ac:dyDescent="0.2">
      <c r="A31" s="20">
        <v>121</v>
      </c>
      <c r="B31" s="20">
        <v>2</v>
      </c>
      <c r="C31" s="20">
        <v>1</v>
      </c>
      <c r="D31" s="20">
        <v>3</v>
      </c>
      <c r="E31" s="20">
        <v>0</v>
      </c>
      <c r="F31" s="20">
        <v>3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x14ac:dyDescent="0.2">
      <c r="A32" s="20">
        <v>122</v>
      </c>
      <c r="B32" s="20">
        <v>2</v>
      </c>
      <c r="C32" s="20">
        <v>1</v>
      </c>
      <c r="D32" s="20">
        <v>1</v>
      </c>
      <c r="E32" s="20">
        <v>2</v>
      </c>
      <c r="F32" s="20">
        <v>3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x14ac:dyDescent="0.2">
      <c r="A33" s="20">
        <v>123</v>
      </c>
      <c r="B33" s="20">
        <v>2</v>
      </c>
      <c r="C33" s="20">
        <v>1</v>
      </c>
      <c r="D33" s="20">
        <v>1</v>
      </c>
      <c r="E33" s="20">
        <v>2</v>
      </c>
      <c r="F33" s="20">
        <v>1.5</v>
      </c>
      <c r="G33" s="20">
        <v>1.5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x14ac:dyDescent="0.2">
      <c r="A34" s="20">
        <v>124</v>
      </c>
      <c r="B34" s="20">
        <v>2</v>
      </c>
      <c r="C34" s="20">
        <v>1</v>
      </c>
      <c r="D34" s="20">
        <v>0.25</v>
      </c>
      <c r="E34" s="20">
        <v>0.75</v>
      </c>
      <c r="F34" s="20">
        <v>1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x14ac:dyDescent="0.2">
      <c r="A35" s="20">
        <v>125</v>
      </c>
      <c r="B35" s="20">
        <v>2</v>
      </c>
      <c r="C35" s="20">
        <v>1</v>
      </c>
      <c r="D35" s="20">
        <v>0</v>
      </c>
      <c r="E35" s="20">
        <v>1.5</v>
      </c>
      <c r="F35" s="20">
        <v>1</v>
      </c>
      <c r="G35" s="20"/>
      <c r="H35" s="20"/>
      <c r="I35" s="20">
        <v>0.5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x14ac:dyDescent="0.2">
      <c r="A36" s="20">
        <v>10</v>
      </c>
      <c r="B36" s="20">
        <v>2</v>
      </c>
      <c r="C36" s="20">
        <v>1</v>
      </c>
      <c r="D36" s="20">
        <v>0.25</v>
      </c>
      <c r="E36" s="20">
        <v>1.25</v>
      </c>
      <c r="F36" s="20">
        <v>0.25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x14ac:dyDescent="0.2">
      <c r="A37" s="20">
        <v>11</v>
      </c>
      <c r="B37" s="20">
        <v>2</v>
      </c>
      <c r="C37" s="20">
        <v>1</v>
      </c>
      <c r="D37" s="20">
        <v>1</v>
      </c>
      <c r="E37" s="20">
        <v>2</v>
      </c>
      <c r="F37" s="20">
        <v>1</v>
      </c>
      <c r="G37" s="20">
        <v>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2">
      <c r="A38" s="20">
        <v>12</v>
      </c>
      <c r="B38" s="20">
        <v>2</v>
      </c>
      <c r="C38" s="20">
        <v>1</v>
      </c>
      <c r="D38" s="20">
        <v>0.75</v>
      </c>
      <c r="E38" s="20">
        <v>2.25</v>
      </c>
      <c r="F38" s="20">
        <v>2</v>
      </c>
      <c r="G38" s="20">
        <v>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x14ac:dyDescent="0.2">
      <c r="A39" s="20">
        <v>13</v>
      </c>
      <c r="B39" s="20">
        <v>2</v>
      </c>
      <c r="C39" s="20">
        <v>1</v>
      </c>
      <c r="D39" s="20">
        <v>0.5</v>
      </c>
      <c r="E39" s="20">
        <v>2.5</v>
      </c>
      <c r="F39" s="20">
        <v>3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x14ac:dyDescent="0.2">
      <c r="A40" s="20">
        <v>14</v>
      </c>
      <c r="B40" s="20">
        <v>2</v>
      </c>
      <c r="C40" s="20">
        <v>1</v>
      </c>
      <c r="D40" s="20">
        <v>0.25</v>
      </c>
      <c r="E40" s="20">
        <v>2.25</v>
      </c>
      <c r="F40" s="20">
        <v>1</v>
      </c>
      <c r="G40" s="20">
        <v>1</v>
      </c>
      <c r="H40" s="20"/>
      <c r="I40" s="20"/>
      <c r="J40" s="20"/>
      <c r="K40" s="20">
        <v>0.5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x14ac:dyDescent="0.2">
      <c r="A41" s="20">
        <v>15</v>
      </c>
      <c r="B41" s="20">
        <v>2</v>
      </c>
      <c r="C41" s="20">
        <v>1</v>
      </c>
      <c r="D41" s="20">
        <v>0</v>
      </c>
      <c r="E41" s="20">
        <v>2</v>
      </c>
      <c r="F41" s="20">
        <v>0.75</v>
      </c>
      <c r="G41" s="20">
        <v>0.75</v>
      </c>
      <c r="H41" s="20">
        <v>0</v>
      </c>
      <c r="I41" s="20">
        <v>0.5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x14ac:dyDescent="0.2">
      <c r="A42" s="20">
        <v>16</v>
      </c>
      <c r="B42" s="20">
        <v>2</v>
      </c>
      <c r="C42" s="20">
        <v>1</v>
      </c>
      <c r="D42" s="20">
        <v>0.5</v>
      </c>
      <c r="E42" s="20">
        <v>1.5</v>
      </c>
      <c r="F42" s="20">
        <v>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x14ac:dyDescent="0.2">
      <c r="A43" s="20">
        <v>17</v>
      </c>
      <c r="B43" s="20">
        <v>2</v>
      </c>
      <c r="C43" s="20">
        <v>1</v>
      </c>
      <c r="D43" s="20">
        <v>0</v>
      </c>
      <c r="E43" s="20">
        <v>1.5</v>
      </c>
      <c r="F43" s="20">
        <v>0</v>
      </c>
      <c r="G43" s="20">
        <v>0</v>
      </c>
      <c r="H43" s="20">
        <v>0</v>
      </c>
      <c r="I43" s="20">
        <v>0.25</v>
      </c>
      <c r="J43" s="20">
        <v>0.75</v>
      </c>
      <c r="K43" s="20">
        <v>0.5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x14ac:dyDescent="0.2">
      <c r="A44" s="20">
        <v>18</v>
      </c>
      <c r="B44" s="20">
        <v>2</v>
      </c>
      <c r="C44" s="20">
        <v>1</v>
      </c>
      <c r="D44" s="20">
        <v>0.25</v>
      </c>
      <c r="E44" s="20">
        <v>1.25</v>
      </c>
      <c r="F44" s="20">
        <v>1.5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x14ac:dyDescent="0.2">
      <c r="A45" s="20">
        <v>19</v>
      </c>
      <c r="B45" s="20">
        <v>2</v>
      </c>
      <c r="C45" s="20">
        <v>1</v>
      </c>
      <c r="D45" s="20">
        <v>0.5</v>
      </c>
      <c r="E45" s="20">
        <v>2.5</v>
      </c>
      <c r="F45" s="20">
        <v>3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">
      <c r="A46" s="20">
        <v>20</v>
      </c>
      <c r="B46" s="20">
        <v>2</v>
      </c>
      <c r="C46" s="20">
        <v>1</v>
      </c>
      <c r="D46" s="20">
        <v>0.25</v>
      </c>
      <c r="E46" s="20">
        <v>1.25</v>
      </c>
      <c r="F46" s="20">
        <v>1.5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x14ac:dyDescent="0.2">
      <c r="A47" s="20">
        <v>21</v>
      </c>
      <c r="B47" s="20">
        <v>2</v>
      </c>
      <c r="C47" s="20">
        <v>1</v>
      </c>
      <c r="D47" s="20">
        <v>1.5</v>
      </c>
      <c r="E47" s="20">
        <v>1.5</v>
      </c>
      <c r="F47" s="20">
        <v>0.25</v>
      </c>
      <c r="G47" s="20">
        <v>2.75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x14ac:dyDescent="0.2">
      <c r="A48" s="20">
        <v>22</v>
      </c>
      <c r="B48" s="20">
        <v>2</v>
      </c>
      <c r="C48" s="20">
        <v>1</v>
      </c>
      <c r="D48" s="20">
        <v>0.25</v>
      </c>
      <c r="E48" s="20">
        <v>1.5</v>
      </c>
      <c r="F48" s="20">
        <v>1.5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x14ac:dyDescent="0.2">
      <c r="A49" s="20">
        <v>23</v>
      </c>
      <c r="B49" s="20">
        <v>2</v>
      </c>
      <c r="C49" s="20">
        <v>1</v>
      </c>
      <c r="D49" s="20">
        <v>0</v>
      </c>
      <c r="E49" s="20">
        <v>3</v>
      </c>
      <c r="F49" s="20">
        <v>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x14ac:dyDescent="0.2">
      <c r="A50" s="20">
        <v>24</v>
      </c>
      <c r="B50" s="20">
        <v>2</v>
      </c>
      <c r="C50" s="20">
        <v>1</v>
      </c>
      <c r="D50" s="20">
        <v>2.5</v>
      </c>
      <c r="E50" s="20">
        <v>0.5</v>
      </c>
      <c r="F50" s="20">
        <v>3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x14ac:dyDescent="0.2">
      <c r="A51" s="21">
        <v>301</v>
      </c>
      <c r="B51" s="21">
        <v>2</v>
      </c>
      <c r="C51" s="21">
        <v>1</v>
      </c>
      <c r="D51" s="21">
        <v>1.5</v>
      </c>
      <c r="E51" s="21">
        <v>1.5</v>
      </c>
      <c r="F51" s="21">
        <v>1</v>
      </c>
      <c r="G51" s="21">
        <v>1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>
        <v>3</v>
      </c>
      <c r="W51" s="21">
        <v>3</v>
      </c>
      <c r="X51" s="21"/>
      <c r="Y51" s="21"/>
      <c r="Z51" s="21"/>
      <c r="AA51" s="21"/>
      <c r="AB51" s="21"/>
      <c r="AC51" s="21"/>
      <c r="AD51" s="21"/>
      <c r="AE51" s="21"/>
    </row>
    <row r="52" spans="1:3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</row>
    <row r="53" spans="1:31" x14ac:dyDescent="0.2">
      <c r="A53" s="22">
        <v>137</v>
      </c>
      <c r="B53" s="22">
        <v>2</v>
      </c>
      <c r="C53" s="22">
        <v>1</v>
      </c>
      <c r="D53" s="22">
        <v>1</v>
      </c>
      <c r="E53" s="22">
        <v>0</v>
      </c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x14ac:dyDescent="0.2">
      <c r="A54" s="20">
        <v>134</v>
      </c>
      <c r="B54" s="20">
        <v>2</v>
      </c>
      <c r="C54" s="20">
        <v>1</v>
      </c>
      <c r="D54" s="20">
        <v>1</v>
      </c>
      <c r="E54" s="20">
        <v>1.5</v>
      </c>
      <c r="F54" s="20">
        <v>1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x14ac:dyDescent="0.2">
      <c r="A55" s="20">
        <v>130</v>
      </c>
      <c r="B55" s="20">
        <v>2</v>
      </c>
      <c r="C55" s="20">
        <v>1</v>
      </c>
      <c r="D55" s="20">
        <v>1.5</v>
      </c>
      <c r="E55" s="20">
        <v>1.5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x14ac:dyDescent="0.2">
      <c r="A56" s="20">
        <v>131</v>
      </c>
      <c r="B56" s="20">
        <v>2</v>
      </c>
      <c r="C56" s="20">
        <v>1</v>
      </c>
      <c r="D56" s="20">
        <v>0</v>
      </c>
      <c r="E56" s="20">
        <v>0.5</v>
      </c>
      <c r="F56" s="20">
        <v>0.5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x14ac:dyDescent="0.2">
      <c r="A57" s="20">
        <v>132</v>
      </c>
      <c r="B57" s="20">
        <v>2</v>
      </c>
      <c r="C57" s="20">
        <v>1</v>
      </c>
      <c r="D57" s="20">
        <v>0.5</v>
      </c>
      <c r="E57" s="20">
        <v>2.5</v>
      </c>
      <c r="F57" s="20">
        <v>0.5</v>
      </c>
      <c r="G57" s="20">
        <v>2.5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x14ac:dyDescent="0.2">
      <c r="A58" s="20">
        <v>133</v>
      </c>
      <c r="B58" s="20">
        <v>2</v>
      </c>
      <c r="C58" s="20">
        <v>1</v>
      </c>
      <c r="D58" s="20">
        <v>1.5</v>
      </c>
      <c r="E58" s="20">
        <v>1.5</v>
      </c>
      <c r="F58" s="20">
        <v>1.5</v>
      </c>
      <c r="G58" s="20">
        <v>1.5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x14ac:dyDescent="0.2">
      <c r="A59" s="20">
        <v>34</v>
      </c>
      <c r="B59" s="20">
        <v>2</v>
      </c>
      <c r="C59" s="20">
        <v>1</v>
      </c>
      <c r="D59" s="20">
        <v>3</v>
      </c>
      <c r="E59" s="20">
        <v>0</v>
      </c>
      <c r="F59" s="20">
        <v>3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x14ac:dyDescent="0.2">
      <c r="A60" s="20">
        <v>35</v>
      </c>
      <c r="B60" s="20">
        <v>2</v>
      </c>
      <c r="C60" s="20">
        <v>1</v>
      </c>
      <c r="D60" s="20">
        <v>0</v>
      </c>
      <c r="E60" s="20">
        <v>1.5</v>
      </c>
      <c r="F60" s="20">
        <v>1.5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x14ac:dyDescent="0.2">
      <c r="A61" s="20">
        <v>33</v>
      </c>
      <c r="B61" s="20">
        <v>2</v>
      </c>
      <c r="C61" s="20">
        <v>1</v>
      </c>
      <c r="D61" s="20">
        <v>0.5</v>
      </c>
      <c r="E61" s="20">
        <v>2.5</v>
      </c>
      <c r="F61" s="20">
        <v>3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x14ac:dyDescent="0.2">
      <c r="A62" s="20">
        <v>32</v>
      </c>
      <c r="B62" s="20">
        <v>2</v>
      </c>
      <c r="C62" s="20">
        <v>1</v>
      </c>
      <c r="D62" s="20">
        <v>0.25</v>
      </c>
      <c r="E62" s="20">
        <v>0.5</v>
      </c>
      <c r="F62" s="20">
        <v>0.75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x14ac:dyDescent="0.2">
      <c r="A63" s="20">
        <v>31</v>
      </c>
      <c r="B63" s="20">
        <v>2</v>
      </c>
      <c r="C63" s="20">
        <v>1</v>
      </c>
      <c r="D63" s="20">
        <v>1</v>
      </c>
      <c r="E63" s="20">
        <v>0.5</v>
      </c>
      <c r="F63" s="20">
        <v>1.5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x14ac:dyDescent="0.2">
      <c r="A64" s="20">
        <v>142</v>
      </c>
      <c r="B64" s="20">
        <v>1</v>
      </c>
      <c r="C64" s="20">
        <v>1</v>
      </c>
      <c r="D64" s="20">
        <v>0.5</v>
      </c>
      <c r="E64" s="20">
        <v>1</v>
      </c>
      <c r="F64" s="20">
        <v>1.5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x14ac:dyDescent="0.2">
      <c r="A65" s="20">
        <v>30</v>
      </c>
      <c r="B65" s="20">
        <v>2</v>
      </c>
      <c r="C65" s="20">
        <v>1</v>
      </c>
      <c r="D65" s="20">
        <v>0</v>
      </c>
      <c r="E65" s="20">
        <v>1.5</v>
      </c>
      <c r="F65" s="20">
        <v>0</v>
      </c>
      <c r="G65" s="20">
        <v>1.5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x14ac:dyDescent="0.2">
      <c r="A66" s="20">
        <v>38</v>
      </c>
      <c r="B66" s="20">
        <v>2</v>
      </c>
      <c r="C66" s="20">
        <v>1</v>
      </c>
      <c r="D66" s="20">
        <v>1</v>
      </c>
      <c r="E66" s="20">
        <v>2</v>
      </c>
      <c r="F66" s="20">
        <v>1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">
      <c r="A67" s="20">
        <v>36</v>
      </c>
      <c r="B67" s="20">
        <v>2</v>
      </c>
      <c r="C67" s="20">
        <v>1</v>
      </c>
      <c r="D67" s="20">
        <v>0</v>
      </c>
      <c r="E67" s="20">
        <v>1.5</v>
      </c>
      <c r="F67" s="20">
        <v>0</v>
      </c>
      <c r="G67" s="20">
        <v>1.5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x14ac:dyDescent="0.2">
      <c r="A68" s="21">
        <v>39</v>
      </c>
      <c r="B68" s="21">
        <v>2</v>
      </c>
      <c r="C68" s="21">
        <v>1</v>
      </c>
      <c r="D68" s="21">
        <v>0</v>
      </c>
      <c r="E68" s="21">
        <v>3</v>
      </c>
      <c r="F68" s="21">
        <v>3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 spans="1:31" x14ac:dyDescent="0.2">
      <c r="A70" s="22">
        <v>136</v>
      </c>
      <c r="B70" s="22">
        <v>2</v>
      </c>
      <c r="C70" s="22">
        <v>1</v>
      </c>
      <c r="D70" s="22">
        <v>0</v>
      </c>
      <c r="E70" s="22">
        <v>1.5</v>
      </c>
      <c r="F70" s="22">
        <v>1.5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x14ac:dyDescent="0.2">
      <c r="A71" s="20">
        <v>139</v>
      </c>
      <c r="B71" s="20">
        <v>2</v>
      </c>
      <c r="C71" s="20">
        <v>1</v>
      </c>
      <c r="D71" s="20">
        <v>1</v>
      </c>
      <c r="E71" s="20">
        <v>0</v>
      </c>
      <c r="F71" s="20">
        <v>1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x14ac:dyDescent="0.2">
      <c r="A72" s="20">
        <v>141</v>
      </c>
      <c r="B72" s="20">
        <v>2</v>
      </c>
      <c r="C72" s="20">
        <v>1</v>
      </c>
      <c r="D72" s="20">
        <v>1.5</v>
      </c>
      <c r="E72" s="20">
        <v>0</v>
      </c>
      <c r="F72" s="20">
        <v>1.5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x14ac:dyDescent="0.2">
      <c r="A73" s="20">
        <v>140</v>
      </c>
      <c r="B73" s="20">
        <v>2</v>
      </c>
      <c r="C73" s="20">
        <v>1</v>
      </c>
      <c r="D73" s="20">
        <v>1</v>
      </c>
      <c r="E73" s="20">
        <v>0</v>
      </c>
      <c r="F73" s="20">
        <v>1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x14ac:dyDescent="0.2">
      <c r="A74" s="20">
        <v>37</v>
      </c>
      <c r="B74" s="20">
        <v>2</v>
      </c>
      <c r="C74" s="20">
        <v>1</v>
      </c>
      <c r="D74" s="20">
        <v>0</v>
      </c>
      <c r="E74" s="20">
        <v>3</v>
      </c>
      <c r="F74" s="20">
        <v>3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x14ac:dyDescent="0.2">
      <c r="A75" s="20">
        <v>42</v>
      </c>
      <c r="B75" s="20">
        <v>2</v>
      </c>
      <c r="C75" s="20">
        <v>1</v>
      </c>
      <c r="D75" s="20">
        <v>0.25</v>
      </c>
      <c r="E75" s="20">
        <v>2.75</v>
      </c>
      <c r="F75" s="20">
        <v>1.5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x14ac:dyDescent="0.2">
      <c r="A76" s="20">
        <v>40</v>
      </c>
      <c r="B76" s="20">
        <v>2</v>
      </c>
      <c r="C76" s="20">
        <v>1</v>
      </c>
      <c r="D76" s="20">
        <v>1.5</v>
      </c>
      <c r="E76" s="20">
        <v>0</v>
      </c>
      <c r="F76" s="20">
        <v>1.5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x14ac:dyDescent="0.2">
      <c r="A77" s="20">
        <v>41</v>
      </c>
      <c r="B77" s="20">
        <v>2</v>
      </c>
      <c r="C77" s="20">
        <v>1</v>
      </c>
      <c r="D77" s="20">
        <v>0.5</v>
      </c>
      <c r="E77" s="20">
        <v>0.5</v>
      </c>
      <c r="F77" s="20">
        <v>1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x14ac:dyDescent="0.2">
      <c r="A78" s="20">
        <v>29</v>
      </c>
      <c r="B78" s="20">
        <v>2</v>
      </c>
      <c r="C78" s="20">
        <v>1</v>
      </c>
      <c r="D78" s="20">
        <v>0</v>
      </c>
      <c r="E78" s="20">
        <v>3</v>
      </c>
      <c r="F78" s="20">
        <v>3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x14ac:dyDescent="0.2">
      <c r="A79" s="20">
        <v>28</v>
      </c>
      <c r="B79" s="20">
        <v>2</v>
      </c>
      <c r="C79" s="20">
        <v>1</v>
      </c>
      <c r="D79" s="20">
        <v>0</v>
      </c>
      <c r="E79" s="20">
        <v>1.5</v>
      </c>
      <c r="F79" s="20">
        <v>1.5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 x14ac:dyDescent="0.2">
      <c r="A80" s="20">
        <v>129</v>
      </c>
      <c r="B80" s="20">
        <v>1</v>
      </c>
      <c r="C80" s="20">
        <v>1</v>
      </c>
      <c r="D80" s="20">
        <v>3</v>
      </c>
      <c r="E80" s="20">
        <v>0</v>
      </c>
      <c r="F80" s="20">
        <v>3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x14ac:dyDescent="0.2">
      <c r="A81" s="20">
        <v>135</v>
      </c>
      <c r="B81" s="20">
        <v>2</v>
      </c>
      <c r="C81" s="20">
        <v>1</v>
      </c>
      <c r="D81" s="20">
        <v>3</v>
      </c>
      <c r="E81" s="20">
        <v>0</v>
      </c>
      <c r="F81" s="20">
        <v>3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x14ac:dyDescent="0.2">
      <c r="A82" s="20">
        <v>138</v>
      </c>
      <c r="B82" s="20">
        <v>2</v>
      </c>
      <c r="C82" s="20">
        <v>1</v>
      </c>
      <c r="D82" s="20">
        <v>0</v>
      </c>
      <c r="E82" s="20">
        <v>3</v>
      </c>
      <c r="F82" s="20">
        <v>1.5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x14ac:dyDescent="0.2">
      <c r="A83" s="21">
        <v>137</v>
      </c>
      <c r="B83" s="21">
        <v>1</v>
      </c>
      <c r="C83" s="21">
        <v>1</v>
      </c>
      <c r="D83" s="21">
        <v>3</v>
      </c>
      <c r="E83" s="21">
        <v>0</v>
      </c>
      <c r="F83" s="21">
        <v>2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</row>
    <row r="85" spans="1:31" x14ac:dyDescent="0.2">
      <c r="A85" s="22">
        <v>252</v>
      </c>
      <c r="B85" s="22">
        <v>1</v>
      </c>
      <c r="C85" s="22" t="s">
        <v>140</v>
      </c>
      <c r="D85" s="22">
        <v>0</v>
      </c>
      <c r="E85" s="22">
        <v>3</v>
      </c>
      <c r="F85" s="22"/>
      <c r="G85" s="22">
        <v>0.5</v>
      </c>
      <c r="H85" s="22"/>
      <c r="I85" s="22"/>
      <c r="J85" s="22"/>
      <c r="K85" s="22">
        <v>0.5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20">
        <v>253</v>
      </c>
      <c r="B86" s="20">
        <v>3</v>
      </c>
      <c r="C86" s="20">
        <v>1</v>
      </c>
      <c r="D86" s="20">
        <v>0.5</v>
      </c>
      <c r="E86" s="20">
        <v>0</v>
      </c>
      <c r="F86" s="20">
        <v>0.5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x14ac:dyDescent="0.2">
      <c r="A87" s="20">
        <v>254</v>
      </c>
      <c r="B87" s="20">
        <v>1</v>
      </c>
      <c r="C87" s="20">
        <v>1</v>
      </c>
      <c r="D87" s="20">
        <v>3</v>
      </c>
      <c r="E87" s="20">
        <v>0.5</v>
      </c>
      <c r="F87" s="57">
        <v>3.5</v>
      </c>
      <c r="G87" s="57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x14ac:dyDescent="0.2">
      <c r="A88" s="20">
        <v>255</v>
      </c>
      <c r="B88" s="20">
        <v>3</v>
      </c>
      <c r="C88" s="20">
        <v>1</v>
      </c>
      <c r="D88" s="20">
        <v>3</v>
      </c>
      <c r="E88" s="20">
        <v>1</v>
      </c>
      <c r="F88" s="57">
        <v>3</v>
      </c>
      <c r="G88" s="57">
        <v>1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x14ac:dyDescent="0.2">
      <c r="A89" s="20">
        <v>256</v>
      </c>
      <c r="B89" s="20">
        <v>2</v>
      </c>
      <c r="C89" s="20">
        <v>1</v>
      </c>
      <c r="D89" s="20">
        <v>1.5</v>
      </c>
      <c r="E89" s="20">
        <v>0.25</v>
      </c>
      <c r="F89" s="57">
        <v>1.5</v>
      </c>
      <c r="G89" s="57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x14ac:dyDescent="0.2">
      <c r="A90" s="20">
        <v>101</v>
      </c>
      <c r="B90" s="20">
        <v>1</v>
      </c>
      <c r="C90" s="20">
        <v>1</v>
      </c>
      <c r="D90" s="20">
        <v>0.25</v>
      </c>
      <c r="E90" s="20">
        <v>0.75</v>
      </c>
      <c r="F90" s="57"/>
      <c r="G90" s="57">
        <v>1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x14ac:dyDescent="0.2">
      <c r="A91" s="20">
        <v>106</v>
      </c>
      <c r="B91" s="20">
        <v>2</v>
      </c>
      <c r="C91" s="20">
        <v>1</v>
      </c>
      <c r="D91" s="20">
        <v>0</v>
      </c>
      <c r="E91" s="20">
        <v>1.5</v>
      </c>
      <c r="F91" s="57">
        <v>1</v>
      </c>
      <c r="G91" s="57">
        <v>0.5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x14ac:dyDescent="0.2">
      <c r="A92" s="20">
        <v>107</v>
      </c>
      <c r="B92" s="20">
        <v>1</v>
      </c>
      <c r="C92" s="20">
        <v>1</v>
      </c>
      <c r="D92" s="20">
        <v>0</v>
      </c>
      <c r="E92" s="20">
        <v>1.5</v>
      </c>
      <c r="F92" s="57">
        <v>1</v>
      </c>
      <c r="G92" s="57">
        <v>0.5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x14ac:dyDescent="0.2">
      <c r="A93" s="20">
        <v>108</v>
      </c>
      <c r="B93" s="20">
        <v>2</v>
      </c>
      <c r="C93" s="20">
        <v>1</v>
      </c>
      <c r="D93" s="20">
        <v>2</v>
      </c>
      <c r="E93" s="20">
        <v>1</v>
      </c>
      <c r="F93" s="20">
        <v>3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x14ac:dyDescent="0.2">
      <c r="A94" s="20">
        <v>109</v>
      </c>
      <c r="B94" s="20">
        <v>1</v>
      </c>
      <c r="C94" s="20">
        <v>1</v>
      </c>
      <c r="D94" s="20">
        <v>1</v>
      </c>
      <c r="E94" s="20">
        <v>1.5</v>
      </c>
      <c r="F94" s="20"/>
      <c r="G94" s="20">
        <v>2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x14ac:dyDescent="0.2">
      <c r="A95" s="20">
        <v>1</v>
      </c>
      <c r="B95" s="20">
        <v>1</v>
      </c>
      <c r="C95" s="20">
        <v>1</v>
      </c>
      <c r="D95" s="20">
        <v>1.5</v>
      </c>
      <c r="E95" s="20">
        <v>0.25</v>
      </c>
      <c r="F95" s="20">
        <v>1</v>
      </c>
      <c r="G95" s="20">
        <v>1.5</v>
      </c>
      <c r="H95" s="20"/>
      <c r="I95" s="20">
        <v>0.25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x14ac:dyDescent="0.2">
      <c r="A96" s="20">
        <v>2</v>
      </c>
      <c r="B96" s="20">
        <v>1</v>
      </c>
      <c r="C96" s="20">
        <v>1</v>
      </c>
      <c r="D96" s="20">
        <v>0</v>
      </c>
      <c r="E96" s="20">
        <v>2</v>
      </c>
      <c r="F96" s="20">
        <v>2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x14ac:dyDescent="0.2">
      <c r="A97" s="20">
        <v>3</v>
      </c>
      <c r="B97" s="20">
        <v>2</v>
      </c>
      <c r="C97" s="20">
        <v>1</v>
      </c>
      <c r="D97" s="20">
        <v>0.5</v>
      </c>
      <c r="E97" s="20">
        <v>1</v>
      </c>
      <c r="F97" s="20">
        <v>1.5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x14ac:dyDescent="0.2">
      <c r="A98" s="20">
        <v>4</v>
      </c>
      <c r="B98" s="20">
        <v>2</v>
      </c>
      <c r="C98" s="20">
        <v>1</v>
      </c>
      <c r="D98" s="20">
        <v>0.5</v>
      </c>
      <c r="E98" s="20">
        <v>2.5</v>
      </c>
      <c r="F98" s="20">
        <v>2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x14ac:dyDescent="0.2">
      <c r="A99" s="20">
        <v>5</v>
      </c>
      <c r="B99" s="20">
        <v>1</v>
      </c>
      <c r="C99" s="20">
        <v>1</v>
      </c>
      <c r="D99" s="20">
        <v>2</v>
      </c>
      <c r="E99" s="20">
        <v>1</v>
      </c>
      <c r="F99" s="20">
        <v>2.5</v>
      </c>
      <c r="G99" s="20"/>
      <c r="H99" s="20">
        <v>0.5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x14ac:dyDescent="0.2">
      <c r="A100" s="20">
        <v>8</v>
      </c>
      <c r="B100" s="20">
        <v>2</v>
      </c>
      <c r="C100" s="20">
        <v>1</v>
      </c>
      <c r="D100" s="20">
        <v>1</v>
      </c>
      <c r="E100" s="20">
        <v>2</v>
      </c>
      <c r="F100" s="20">
        <v>3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x14ac:dyDescent="0.2">
      <c r="A101" s="20">
        <v>9</v>
      </c>
      <c r="B101" s="20">
        <v>1</v>
      </c>
      <c r="C101" s="20">
        <v>1</v>
      </c>
      <c r="D101" s="20">
        <v>1</v>
      </c>
      <c r="E101" s="20">
        <v>4</v>
      </c>
      <c r="F101" s="20">
        <v>1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x14ac:dyDescent="0.2">
      <c r="A102" s="20">
        <v>201</v>
      </c>
      <c r="B102" s="20">
        <v>1</v>
      </c>
      <c r="C102" s="20">
        <v>1</v>
      </c>
      <c r="D102" s="20">
        <v>0</v>
      </c>
      <c r="E102" s="20">
        <v>2</v>
      </c>
      <c r="F102" s="20">
        <v>0</v>
      </c>
      <c r="G102" s="20">
        <v>2</v>
      </c>
      <c r="H102" s="20"/>
      <c r="I102" s="20"/>
      <c r="J102" s="20"/>
      <c r="K102" s="20"/>
      <c r="L102" s="20">
        <v>3</v>
      </c>
      <c r="M102" s="20">
        <v>0</v>
      </c>
      <c r="N102" s="20">
        <v>1</v>
      </c>
      <c r="O102" s="20">
        <v>0</v>
      </c>
      <c r="P102" s="20">
        <v>1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x14ac:dyDescent="0.2">
      <c r="A103" s="20">
        <v>204</v>
      </c>
      <c r="B103" s="20">
        <v>2</v>
      </c>
      <c r="C103" s="20">
        <v>1</v>
      </c>
      <c r="D103" s="20">
        <v>0.5</v>
      </c>
      <c r="E103" s="20">
        <v>1</v>
      </c>
      <c r="F103" s="20">
        <v>1.5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>
        <v>4</v>
      </c>
      <c r="W103" s="20">
        <v>3</v>
      </c>
      <c r="X103" s="20">
        <v>0</v>
      </c>
      <c r="Y103" s="20">
        <v>1</v>
      </c>
      <c r="Z103" s="20">
        <v>0</v>
      </c>
      <c r="AA103" s="20">
        <v>0</v>
      </c>
      <c r="AB103" s="20">
        <v>1</v>
      </c>
      <c r="AC103" s="20"/>
      <c r="AD103" s="20"/>
      <c r="AE103" s="20"/>
    </row>
    <row r="104" spans="1:31" x14ac:dyDescent="0.2">
      <c r="A104" s="20">
        <v>205</v>
      </c>
      <c r="B104" s="20">
        <v>1</v>
      </c>
      <c r="C104" s="20">
        <v>1</v>
      </c>
      <c r="D104" s="20">
        <v>1.5</v>
      </c>
      <c r="E104" s="20">
        <v>1.5</v>
      </c>
      <c r="F104" s="20">
        <v>2.5</v>
      </c>
      <c r="G104" s="20">
        <v>0.5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>
        <v>4</v>
      </c>
      <c r="W104" s="20">
        <v>0.5</v>
      </c>
      <c r="X104" s="20">
        <v>0</v>
      </c>
      <c r="Y104" s="20">
        <v>0.5</v>
      </c>
      <c r="Z104" s="20"/>
      <c r="AA104" s="20"/>
      <c r="AB104" s="20"/>
      <c r="AC104" s="20"/>
      <c r="AD104" s="20"/>
      <c r="AE104" s="20"/>
    </row>
    <row r="105" spans="1:31" x14ac:dyDescent="0.2">
      <c r="A105" s="20">
        <v>320</v>
      </c>
      <c r="B105" s="20">
        <v>2</v>
      </c>
      <c r="C105" s="20">
        <v>1</v>
      </c>
      <c r="D105" s="20">
        <v>1.5</v>
      </c>
      <c r="E105" s="20">
        <v>1.5</v>
      </c>
      <c r="F105" s="20">
        <v>3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3</v>
      </c>
      <c r="M105" s="20">
        <v>1</v>
      </c>
      <c r="N105" s="20">
        <v>2</v>
      </c>
      <c r="O105" s="20">
        <v>0</v>
      </c>
      <c r="P105" s="20">
        <v>2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3</v>
      </c>
      <c r="W105" s="20">
        <v>1</v>
      </c>
      <c r="X105" s="20">
        <v>2</v>
      </c>
      <c r="Y105" s="20">
        <v>0</v>
      </c>
      <c r="Z105" s="20">
        <v>2</v>
      </c>
      <c r="AA105" s="20"/>
      <c r="AB105" s="20"/>
      <c r="AC105" s="20"/>
      <c r="AD105" s="20"/>
      <c r="AE105" s="20"/>
    </row>
    <row r="106" spans="1:31" x14ac:dyDescent="0.2">
      <c r="A106" s="20">
        <v>226</v>
      </c>
      <c r="B106" s="20">
        <v>2</v>
      </c>
      <c r="C106" s="20">
        <v>1</v>
      </c>
      <c r="D106" s="20">
        <v>0.5</v>
      </c>
      <c r="E106" s="20">
        <v>0.5</v>
      </c>
      <c r="F106" s="20">
        <v>0.5</v>
      </c>
      <c r="G106" s="20">
        <v>0.5</v>
      </c>
      <c r="H106" s="20">
        <v>0</v>
      </c>
      <c r="I106" s="20">
        <v>0</v>
      </c>
      <c r="J106" s="20">
        <v>0</v>
      </c>
      <c r="K106" s="20">
        <v>0</v>
      </c>
      <c r="L106" s="20">
        <v>3</v>
      </c>
      <c r="M106" s="20">
        <v>1</v>
      </c>
      <c r="N106" s="20">
        <v>0.5</v>
      </c>
      <c r="O106" s="20">
        <v>0.5</v>
      </c>
      <c r="P106" s="20">
        <v>0.5</v>
      </c>
      <c r="Q106" s="20">
        <v>0.5</v>
      </c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x14ac:dyDescent="0.2">
      <c r="A107" s="20">
        <v>314</v>
      </c>
      <c r="B107" s="20">
        <v>2</v>
      </c>
      <c r="C107" s="20">
        <v>1</v>
      </c>
      <c r="D107" s="20">
        <v>1.5</v>
      </c>
      <c r="E107" s="20">
        <v>1.5</v>
      </c>
      <c r="F107" s="20">
        <v>2</v>
      </c>
      <c r="G107" s="20">
        <v>1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x14ac:dyDescent="0.2">
      <c r="A108" s="20">
        <v>321</v>
      </c>
      <c r="B108" s="20">
        <v>2</v>
      </c>
      <c r="C108" s="20">
        <v>1</v>
      </c>
      <c r="D108" s="20">
        <v>0.75</v>
      </c>
      <c r="E108" s="20">
        <v>2.25</v>
      </c>
      <c r="F108" s="20">
        <v>0.75</v>
      </c>
      <c r="G108" s="20">
        <v>2.25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x14ac:dyDescent="0.2">
      <c r="A109" s="20">
        <v>315</v>
      </c>
      <c r="B109" s="20">
        <v>2</v>
      </c>
      <c r="C109" s="20">
        <v>1</v>
      </c>
      <c r="D109" s="20">
        <v>1.25</v>
      </c>
      <c r="E109" s="20">
        <v>1.75</v>
      </c>
      <c r="F109" s="20">
        <v>1.5</v>
      </c>
      <c r="G109" s="20">
        <v>0</v>
      </c>
      <c r="H109" s="20">
        <v>0</v>
      </c>
      <c r="I109" s="20">
        <v>0</v>
      </c>
      <c r="J109" s="20">
        <v>1.5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x14ac:dyDescent="0.2">
      <c r="A110" s="20">
        <v>227</v>
      </c>
      <c r="B110" s="20">
        <v>2</v>
      </c>
      <c r="C110" s="20">
        <v>1</v>
      </c>
      <c r="D110" s="20">
        <v>0</v>
      </c>
      <c r="E110" s="20">
        <v>1.5</v>
      </c>
      <c r="F110" s="20">
        <v>1.5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1</v>
      </c>
      <c r="N110" s="20">
        <v>2</v>
      </c>
      <c r="O110" s="20">
        <v>0</v>
      </c>
      <c r="P110" s="20">
        <v>2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x14ac:dyDescent="0.2">
      <c r="A111" s="20">
        <v>228</v>
      </c>
      <c r="B111" s="20">
        <v>2</v>
      </c>
      <c r="C111" s="20">
        <v>1</v>
      </c>
      <c r="D111" s="20">
        <v>0</v>
      </c>
      <c r="E111" s="20">
        <v>1</v>
      </c>
      <c r="F111" s="20">
        <v>0</v>
      </c>
      <c r="G111" s="20">
        <v>1</v>
      </c>
      <c r="H111" s="20">
        <v>0</v>
      </c>
      <c r="I111" s="20">
        <v>0</v>
      </c>
      <c r="J111" s="20">
        <v>0</v>
      </c>
      <c r="K111" s="20">
        <v>0</v>
      </c>
      <c r="L111" s="20">
        <v>3</v>
      </c>
      <c r="M111" s="20">
        <v>1</v>
      </c>
      <c r="N111" s="20">
        <v>0</v>
      </c>
      <c r="O111" s="20">
        <v>1.5</v>
      </c>
      <c r="P111" s="20">
        <v>1.5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x14ac:dyDescent="0.2">
      <c r="A112" s="20">
        <v>251</v>
      </c>
      <c r="B112" s="20">
        <v>1</v>
      </c>
      <c r="C112" s="20">
        <v>5</v>
      </c>
      <c r="D112" s="20">
        <v>1</v>
      </c>
      <c r="E112" s="20">
        <v>2</v>
      </c>
      <c r="F112" s="20">
        <v>1</v>
      </c>
      <c r="G112" s="20">
        <v>2</v>
      </c>
      <c r="H112" s="20"/>
      <c r="I112" s="20"/>
      <c r="J112" s="20"/>
      <c r="K112" s="20"/>
      <c r="L112" s="20">
        <v>1</v>
      </c>
      <c r="M112" s="20">
        <v>2</v>
      </c>
      <c r="N112" s="20">
        <v>0.5</v>
      </c>
      <c r="O112" s="20">
        <v>1.5</v>
      </c>
      <c r="P112" s="20"/>
      <c r="Q112" s="20">
        <v>2</v>
      </c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x14ac:dyDescent="0.2">
      <c r="A113" s="20">
        <v>102</v>
      </c>
      <c r="B113" s="20">
        <v>4</v>
      </c>
      <c r="C113" s="20">
        <v>1</v>
      </c>
      <c r="D113" s="20">
        <v>0.25</v>
      </c>
      <c r="E113" s="20">
        <v>3.25</v>
      </c>
      <c r="F113" s="20">
        <v>3.5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x14ac:dyDescent="0.2">
      <c r="A114" s="20">
        <v>104</v>
      </c>
      <c r="B114" s="20">
        <v>2</v>
      </c>
      <c r="C114" s="20">
        <v>1</v>
      </c>
      <c r="D114" s="20">
        <v>3</v>
      </c>
      <c r="E114" s="20">
        <v>0</v>
      </c>
      <c r="F114" s="20">
        <v>3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x14ac:dyDescent="0.2">
      <c r="A115" s="20">
        <v>105</v>
      </c>
      <c r="B115" s="20">
        <v>1</v>
      </c>
      <c r="C115" s="20">
        <v>1</v>
      </c>
      <c r="D115" s="20">
        <v>1</v>
      </c>
      <c r="E115" s="20">
        <v>2</v>
      </c>
      <c r="F115" s="20">
        <v>3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x14ac:dyDescent="0.2">
      <c r="A116" s="20">
        <v>6</v>
      </c>
      <c r="B116" s="20">
        <v>1</v>
      </c>
      <c r="C116" s="20">
        <v>1</v>
      </c>
      <c r="D116" s="20">
        <v>0</v>
      </c>
      <c r="E116" s="20">
        <v>1</v>
      </c>
      <c r="F116" s="20"/>
      <c r="G116" s="20"/>
      <c r="H116" s="20"/>
      <c r="I116" s="20">
        <v>1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x14ac:dyDescent="0.2">
      <c r="A117" s="20">
        <v>202</v>
      </c>
      <c r="B117" s="20">
        <v>2</v>
      </c>
      <c r="C117" s="20">
        <v>1</v>
      </c>
      <c r="D117" s="20">
        <v>0</v>
      </c>
      <c r="E117" s="20">
        <v>0.5</v>
      </c>
      <c r="F117" s="20">
        <v>0.5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x14ac:dyDescent="0.2">
      <c r="A118" s="21">
        <v>203</v>
      </c>
      <c r="B118" s="21">
        <v>1</v>
      </c>
      <c r="C118" s="21">
        <v>1</v>
      </c>
      <c r="D118" s="21">
        <v>2</v>
      </c>
      <c r="E118" s="21">
        <v>1</v>
      </c>
      <c r="F118" s="21">
        <v>2</v>
      </c>
      <c r="G118" s="21"/>
      <c r="H118" s="21"/>
      <c r="I118" s="21"/>
      <c r="J118" s="21">
        <v>1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</row>
    <row r="120" spans="1:31" x14ac:dyDescent="0.2">
      <c r="A120" s="22">
        <v>7</v>
      </c>
      <c r="B120" s="22">
        <v>2</v>
      </c>
      <c r="C120" s="22">
        <v>1</v>
      </c>
      <c r="D120" s="22">
        <v>0</v>
      </c>
      <c r="E120" s="22">
        <v>1.25</v>
      </c>
      <c r="F120" s="22">
        <v>1.25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20">
        <v>144</v>
      </c>
      <c r="B121" s="20">
        <v>2</v>
      </c>
      <c r="C121" s="20">
        <v>1</v>
      </c>
      <c r="D121" s="20">
        <v>0</v>
      </c>
      <c r="E121" s="20">
        <v>1</v>
      </c>
      <c r="F121" s="20">
        <v>1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x14ac:dyDescent="0.2">
      <c r="A122" s="20">
        <v>261</v>
      </c>
      <c r="B122" s="20">
        <v>3</v>
      </c>
      <c r="C122" s="20">
        <v>1</v>
      </c>
      <c r="D122" s="20">
        <v>0.5</v>
      </c>
      <c r="E122" s="20">
        <v>0.5</v>
      </c>
      <c r="F122" s="20">
        <v>0.75</v>
      </c>
      <c r="G122" s="20"/>
      <c r="H122" s="20"/>
      <c r="I122" s="20"/>
      <c r="J122" s="20"/>
      <c r="K122" s="20">
        <v>0.25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x14ac:dyDescent="0.2">
      <c r="A123" s="20">
        <v>208</v>
      </c>
      <c r="B123" s="20">
        <v>2</v>
      </c>
      <c r="C123" s="20">
        <v>1</v>
      </c>
      <c r="D123" s="20">
        <v>0.5</v>
      </c>
      <c r="E123" s="20">
        <v>2.5</v>
      </c>
      <c r="F123" s="20">
        <v>0.5</v>
      </c>
      <c r="G123" s="20"/>
      <c r="H123" s="20">
        <v>2.5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x14ac:dyDescent="0.2">
      <c r="A124" s="20">
        <v>44</v>
      </c>
      <c r="B124" s="20">
        <v>2</v>
      </c>
      <c r="C124" s="20">
        <v>1</v>
      </c>
      <c r="D124" s="20">
        <v>1.5</v>
      </c>
      <c r="E124" s="20">
        <v>1.5</v>
      </c>
      <c r="F124" s="20">
        <v>0</v>
      </c>
      <c r="G124" s="20">
        <v>1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x14ac:dyDescent="0.2">
      <c r="A125" s="20">
        <v>209</v>
      </c>
      <c r="B125" s="20">
        <v>2</v>
      </c>
      <c r="C125" s="20">
        <v>1</v>
      </c>
      <c r="D125" s="20">
        <v>0</v>
      </c>
      <c r="E125" s="20">
        <v>1</v>
      </c>
      <c r="F125" s="20">
        <v>0</v>
      </c>
      <c r="G125" s="20">
        <v>1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x14ac:dyDescent="0.2">
      <c r="A126" s="20">
        <v>45</v>
      </c>
      <c r="B126" s="20">
        <v>2</v>
      </c>
      <c r="C126" s="20">
        <v>1</v>
      </c>
      <c r="D126" s="20">
        <v>0</v>
      </c>
      <c r="E126" s="20">
        <v>3</v>
      </c>
      <c r="F126" s="20">
        <v>3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x14ac:dyDescent="0.2">
      <c r="A127" s="20">
        <v>210</v>
      </c>
      <c r="B127" s="20">
        <v>3</v>
      </c>
      <c r="C127" s="20">
        <v>1</v>
      </c>
      <c r="D127" s="20">
        <v>0.5</v>
      </c>
      <c r="E127" s="20">
        <v>0.5</v>
      </c>
      <c r="F127" s="20">
        <v>1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x14ac:dyDescent="0.2">
      <c r="A128" s="20">
        <v>211</v>
      </c>
      <c r="B128" s="20">
        <v>2</v>
      </c>
      <c r="C128" s="20">
        <v>1</v>
      </c>
      <c r="D128" s="20">
        <v>0.5</v>
      </c>
      <c r="E128" s="20">
        <v>1.5</v>
      </c>
      <c r="F128" s="20">
        <v>1.5</v>
      </c>
      <c r="G128" s="20">
        <v>0.5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x14ac:dyDescent="0.2">
      <c r="A129" s="20">
        <v>212</v>
      </c>
      <c r="B129" s="20">
        <v>1</v>
      </c>
      <c r="C129" s="20">
        <v>1</v>
      </c>
      <c r="D129" s="20">
        <v>0.5</v>
      </c>
      <c r="E129" s="20">
        <v>2.5</v>
      </c>
      <c r="F129" s="20">
        <v>1</v>
      </c>
      <c r="G129" s="20">
        <v>2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>
        <v>1</v>
      </c>
      <c r="W129" s="20">
        <v>3</v>
      </c>
      <c r="X129" s="20">
        <v>0</v>
      </c>
      <c r="Y129" s="20">
        <v>1</v>
      </c>
      <c r="Z129" s="20"/>
      <c r="AA129" s="20"/>
      <c r="AB129" s="20"/>
      <c r="AC129" s="20"/>
      <c r="AD129" s="20"/>
      <c r="AE129" s="20"/>
    </row>
    <row r="130" spans="1:31" x14ac:dyDescent="0.2">
      <c r="A130" s="20">
        <v>145</v>
      </c>
      <c r="B130" s="20">
        <v>1</v>
      </c>
      <c r="C130" s="20">
        <v>1</v>
      </c>
      <c r="D130" s="20">
        <v>1</v>
      </c>
      <c r="E130" s="20">
        <v>0.5</v>
      </c>
      <c r="F130" s="20">
        <v>1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x14ac:dyDescent="0.2">
      <c r="A131" s="20">
        <v>46</v>
      </c>
      <c r="B131" s="20">
        <v>2</v>
      </c>
      <c r="C131" s="20">
        <v>1</v>
      </c>
      <c r="D131" s="20">
        <v>0.5</v>
      </c>
      <c r="E131" s="20">
        <v>2.5</v>
      </c>
      <c r="F131" s="20">
        <v>1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x14ac:dyDescent="0.2">
      <c r="A132" s="20">
        <v>47</v>
      </c>
      <c r="B132" s="20">
        <v>2</v>
      </c>
      <c r="C132" s="20">
        <v>1</v>
      </c>
      <c r="D132" s="20">
        <v>1</v>
      </c>
      <c r="E132" s="20">
        <v>2</v>
      </c>
      <c r="F132" s="20">
        <v>3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x14ac:dyDescent="0.2">
      <c r="A133" s="20">
        <v>213</v>
      </c>
      <c r="B133" s="20">
        <v>2</v>
      </c>
      <c r="C133" s="20">
        <v>1</v>
      </c>
      <c r="D133" s="20">
        <v>0.5</v>
      </c>
      <c r="E133" s="20">
        <v>1.5</v>
      </c>
      <c r="F133" s="20">
        <v>1</v>
      </c>
      <c r="G133" s="20">
        <v>0</v>
      </c>
      <c r="H133" s="20">
        <v>0</v>
      </c>
      <c r="I133" s="20">
        <v>0</v>
      </c>
      <c r="J133" s="20">
        <v>1</v>
      </c>
      <c r="K133" s="20"/>
      <c r="L133" s="20">
        <v>4</v>
      </c>
      <c r="M133" s="20">
        <v>1</v>
      </c>
      <c r="N133" s="20">
        <v>0</v>
      </c>
      <c r="O133" s="20">
        <v>1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x14ac:dyDescent="0.2">
      <c r="A134" s="20">
        <v>262</v>
      </c>
      <c r="B134" s="20">
        <v>1</v>
      </c>
      <c r="C134" s="20">
        <v>1</v>
      </c>
      <c r="D134" s="20">
        <v>0.25</v>
      </c>
      <c r="E134" s="20">
        <v>1.25</v>
      </c>
      <c r="F134" s="20">
        <v>0.5</v>
      </c>
      <c r="G134" s="20">
        <v>0.75</v>
      </c>
      <c r="H134" s="20">
        <v>0</v>
      </c>
      <c r="I134" s="20">
        <v>0</v>
      </c>
      <c r="J134" s="20">
        <v>0</v>
      </c>
      <c r="K134" s="20">
        <v>0.25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x14ac:dyDescent="0.2">
      <c r="A135" s="20">
        <v>143</v>
      </c>
      <c r="B135" s="20">
        <v>2</v>
      </c>
      <c r="C135" s="20">
        <v>1</v>
      </c>
      <c r="D135" s="20">
        <v>0</v>
      </c>
      <c r="E135" s="20">
        <v>1</v>
      </c>
      <c r="F135" s="20">
        <v>1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x14ac:dyDescent="0.2">
      <c r="A136" s="20">
        <v>263</v>
      </c>
      <c r="B136" s="20">
        <v>2</v>
      </c>
      <c r="C136" s="20">
        <v>1</v>
      </c>
      <c r="D136" s="20">
        <v>3.5</v>
      </c>
      <c r="E136" s="20">
        <v>0</v>
      </c>
      <c r="F136" s="20">
        <v>3.5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x14ac:dyDescent="0.2">
      <c r="A137" s="20">
        <v>264</v>
      </c>
      <c r="B137" s="20">
        <v>2</v>
      </c>
      <c r="C137" s="20">
        <v>1</v>
      </c>
      <c r="D137" s="20">
        <v>0</v>
      </c>
      <c r="E137" s="20">
        <v>3</v>
      </c>
      <c r="F137" s="20">
        <v>1.5</v>
      </c>
      <c r="G137" s="20">
        <v>1.5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x14ac:dyDescent="0.2">
      <c r="A138" s="20">
        <v>265</v>
      </c>
      <c r="B138" s="20">
        <v>2</v>
      </c>
      <c r="C138" s="20">
        <v>1</v>
      </c>
      <c r="D138" s="20">
        <v>3</v>
      </c>
      <c r="E138" s="20">
        <v>0</v>
      </c>
      <c r="F138" s="20">
        <v>3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x14ac:dyDescent="0.2">
      <c r="A139" s="20">
        <v>266</v>
      </c>
      <c r="B139" s="20">
        <v>1</v>
      </c>
      <c r="C139" s="20">
        <v>1</v>
      </c>
      <c r="D139" s="20">
        <v>1.5</v>
      </c>
      <c r="E139" s="20">
        <v>1.5</v>
      </c>
      <c r="F139" s="20">
        <v>3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x14ac:dyDescent="0.2">
      <c r="A140" s="20">
        <v>267</v>
      </c>
      <c r="B140" s="20">
        <v>2</v>
      </c>
      <c r="C140" s="20">
        <v>1</v>
      </c>
      <c r="D140" s="20">
        <v>1</v>
      </c>
      <c r="E140" s="20">
        <v>1</v>
      </c>
      <c r="F140" s="20">
        <v>1</v>
      </c>
      <c r="G140" s="20"/>
      <c r="H140" s="20"/>
      <c r="I140" s="20"/>
      <c r="J140" s="20"/>
      <c r="K140" s="20">
        <v>1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x14ac:dyDescent="0.2">
      <c r="A141" s="20">
        <v>146</v>
      </c>
      <c r="B141" s="20">
        <v>2</v>
      </c>
      <c r="C141" s="20">
        <v>1</v>
      </c>
      <c r="D141" s="20">
        <v>0.5</v>
      </c>
      <c r="E141" s="20">
        <v>2.5</v>
      </c>
      <c r="F141" s="20">
        <v>1</v>
      </c>
      <c r="G141" s="20">
        <v>1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x14ac:dyDescent="0.2">
      <c r="A142" s="20">
        <v>43</v>
      </c>
      <c r="B142" s="20">
        <v>2</v>
      </c>
      <c r="C142" s="20">
        <v>1</v>
      </c>
      <c r="D142" s="20">
        <v>0.5</v>
      </c>
      <c r="E142" s="20">
        <v>1</v>
      </c>
      <c r="F142" s="20">
        <v>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x14ac:dyDescent="0.2">
      <c r="A143" s="20">
        <v>257</v>
      </c>
      <c r="B143" s="20">
        <v>1</v>
      </c>
      <c r="C143" s="20">
        <v>1</v>
      </c>
      <c r="D143" s="20">
        <v>1</v>
      </c>
      <c r="E143" s="20">
        <v>1.5</v>
      </c>
      <c r="F143" s="20">
        <v>1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x14ac:dyDescent="0.2">
      <c r="A144" s="21">
        <v>103</v>
      </c>
      <c r="B144" s="21">
        <v>2</v>
      </c>
      <c r="C144" s="21">
        <v>1</v>
      </c>
      <c r="D144" s="21">
        <v>0.25</v>
      </c>
      <c r="E144" s="21">
        <v>2.75</v>
      </c>
      <c r="F144" s="21">
        <v>3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</row>
    <row r="146" spans="1:31" x14ac:dyDescent="0.2">
      <c r="A146" s="22">
        <v>214</v>
      </c>
      <c r="B146" s="22">
        <v>2</v>
      </c>
      <c r="C146" s="22">
        <v>1</v>
      </c>
      <c r="D146" s="22">
        <v>1.5</v>
      </c>
      <c r="E146" s="22">
        <v>0</v>
      </c>
      <c r="F146" s="22">
        <v>1.5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3</v>
      </c>
      <c r="M146" s="22">
        <v>1</v>
      </c>
      <c r="N146" s="22">
        <v>2</v>
      </c>
      <c r="O146" s="22">
        <v>0</v>
      </c>
      <c r="P146" s="22">
        <v>2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20">
        <v>229</v>
      </c>
      <c r="B147" s="20">
        <v>2</v>
      </c>
      <c r="C147" s="20">
        <v>1</v>
      </c>
      <c r="D147" s="20">
        <v>1</v>
      </c>
      <c r="E147" s="20">
        <v>0.5</v>
      </c>
      <c r="F147" s="20">
        <v>1</v>
      </c>
      <c r="G147" s="20">
        <v>0</v>
      </c>
      <c r="H147" s="20">
        <v>0</v>
      </c>
      <c r="I147" s="20">
        <v>0</v>
      </c>
      <c r="J147" s="20">
        <v>0.5</v>
      </c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x14ac:dyDescent="0.2">
      <c r="A148" s="20">
        <v>230</v>
      </c>
      <c r="B148" s="20">
        <v>2</v>
      </c>
      <c r="C148" s="20">
        <v>1</v>
      </c>
      <c r="D148" s="20">
        <v>1.5</v>
      </c>
      <c r="E148" s="20">
        <v>2</v>
      </c>
      <c r="F148" s="20">
        <v>1.5</v>
      </c>
      <c r="G148" s="20">
        <v>2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x14ac:dyDescent="0.2">
      <c r="A149" s="20">
        <v>231</v>
      </c>
      <c r="B149" s="20">
        <v>2</v>
      </c>
      <c r="C149" s="20">
        <v>1</v>
      </c>
      <c r="D149" s="20">
        <v>1</v>
      </c>
      <c r="E149" s="20">
        <v>2</v>
      </c>
      <c r="F149" s="20">
        <v>3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x14ac:dyDescent="0.2">
      <c r="A150" s="20">
        <v>269</v>
      </c>
      <c r="B150" s="20">
        <v>2</v>
      </c>
      <c r="C150" s="20">
        <v>1</v>
      </c>
      <c r="D150" s="20">
        <v>3</v>
      </c>
      <c r="E150" s="20">
        <v>0</v>
      </c>
      <c r="F150" s="20">
        <v>3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x14ac:dyDescent="0.2">
      <c r="A151" s="20">
        <v>270</v>
      </c>
      <c r="B151" s="20">
        <v>2</v>
      </c>
      <c r="C151" s="20">
        <v>1</v>
      </c>
      <c r="D151" s="20">
        <v>1</v>
      </c>
      <c r="E151" s="20">
        <v>0.5</v>
      </c>
      <c r="F151" s="20">
        <v>0.3</v>
      </c>
      <c r="G151" s="20"/>
      <c r="H151" s="20"/>
      <c r="I151" s="20"/>
      <c r="J151" s="20">
        <f>1.5-0.3</f>
        <v>1.2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x14ac:dyDescent="0.2">
      <c r="A152" s="20">
        <v>317</v>
      </c>
      <c r="B152" s="20">
        <v>2</v>
      </c>
      <c r="C152" s="20">
        <v>1</v>
      </c>
      <c r="D152" s="20">
        <v>3</v>
      </c>
      <c r="E152" s="20">
        <v>0</v>
      </c>
      <c r="F152" s="20">
        <v>3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x14ac:dyDescent="0.2">
      <c r="A153" s="20">
        <v>318</v>
      </c>
      <c r="B153" s="20">
        <v>2</v>
      </c>
      <c r="C153" s="20">
        <v>1</v>
      </c>
      <c r="D153" s="20">
        <v>2.5</v>
      </c>
      <c r="E153" s="20">
        <v>0</v>
      </c>
      <c r="F153" s="20">
        <v>2.5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x14ac:dyDescent="0.2">
      <c r="A154" s="20">
        <v>319</v>
      </c>
      <c r="B154" s="20">
        <v>2</v>
      </c>
      <c r="C154" s="20">
        <v>1</v>
      </c>
      <c r="D154" s="20">
        <v>1</v>
      </c>
      <c r="E154" s="20">
        <v>1.5</v>
      </c>
      <c r="F154" s="20">
        <v>2.5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x14ac:dyDescent="0.2">
      <c r="A155" s="21">
        <v>232</v>
      </c>
      <c r="B155" s="21">
        <v>2</v>
      </c>
      <c r="C155" s="21">
        <v>1</v>
      </c>
      <c r="D155" s="21">
        <v>0.25</v>
      </c>
      <c r="E155" s="21">
        <v>0.75</v>
      </c>
      <c r="F155" s="21">
        <v>0</v>
      </c>
      <c r="G155" s="21">
        <v>1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x14ac:dyDescent="0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spans="1:31" x14ac:dyDescent="0.2">
      <c r="A157" s="22">
        <v>156</v>
      </c>
      <c r="B157" s="22">
        <v>2</v>
      </c>
      <c r="C157" s="22">
        <v>1</v>
      </c>
      <c r="D157" s="22">
        <v>0</v>
      </c>
      <c r="E157" s="22">
        <v>3</v>
      </c>
      <c r="F157" s="22">
        <v>0</v>
      </c>
      <c r="G157" s="22">
        <v>1</v>
      </c>
      <c r="H157" s="22">
        <v>2</v>
      </c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20">
        <v>151</v>
      </c>
      <c r="B158" s="20">
        <v>2</v>
      </c>
      <c r="C158" s="20">
        <v>1</v>
      </c>
      <c r="D158" s="20">
        <v>0</v>
      </c>
      <c r="E158" s="20">
        <v>1.5</v>
      </c>
      <c r="F158" s="20">
        <v>0</v>
      </c>
      <c r="G158" s="20">
        <v>1.5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x14ac:dyDescent="0.2">
      <c r="A159" s="20">
        <v>157</v>
      </c>
      <c r="B159" s="20">
        <v>2</v>
      </c>
      <c r="C159" s="20">
        <v>1</v>
      </c>
      <c r="D159" s="20">
        <v>0</v>
      </c>
      <c r="E159" s="20">
        <v>1.5</v>
      </c>
      <c r="F159" s="20">
        <v>1.5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x14ac:dyDescent="0.2">
      <c r="A160" s="20">
        <v>50</v>
      </c>
      <c r="B160" s="20">
        <v>2</v>
      </c>
      <c r="C160" s="20">
        <v>1</v>
      </c>
      <c r="D160" s="20">
        <v>0</v>
      </c>
      <c r="E160" s="20">
        <v>3</v>
      </c>
      <c r="F160" s="20">
        <v>1.5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x14ac:dyDescent="0.2">
      <c r="A161" s="20">
        <v>49</v>
      </c>
      <c r="B161" s="20">
        <v>2</v>
      </c>
      <c r="C161" s="20">
        <v>1</v>
      </c>
      <c r="D161" s="20">
        <v>1</v>
      </c>
      <c r="E161" s="20">
        <v>2</v>
      </c>
      <c r="F161" s="20">
        <v>2</v>
      </c>
      <c r="G161" s="20">
        <v>1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x14ac:dyDescent="0.2">
      <c r="A162" s="20">
        <v>44</v>
      </c>
      <c r="B162" s="20">
        <v>2</v>
      </c>
      <c r="C162" s="20">
        <v>1</v>
      </c>
      <c r="D162" s="20">
        <v>0</v>
      </c>
      <c r="E162" s="20">
        <v>3</v>
      </c>
      <c r="F162" s="20">
        <v>0.5</v>
      </c>
      <c r="G162" s="20">
        <v>1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x14ac:dyDescent="0.2">
      <c r="A163" s="20">
        <v>45</v>
      </c>
      <c r="B163" s="20">
        <v>2</v>
      </c>
      <c r="C163" s="20">
        <v>1</v>
      </c>
      <c r="D163" s="20">
        <v>1</v>
      </c>
      <c r="E163" s="20">
        <v>0.5</v>
      </c>
      <c r="F163" s="20">
        <v>1.5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x14ac:dyDescent="0.2">
      <c r="A164" s="20">
        <v>46</v>
      </c>
      <c r="B164" s="20">
        <v>2</v>
      </c>
      <c r="C164" s="20">
        <v>1</v>
      </c>
      <c r="D164" s="20">
        <v>2.5</v>
      </c>
      <c r="E164" s="20">
        <v>0.5</v>
      </c>
      <c r="F164" s="20">
        <v>3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x14ac:dyDescent="0.2">
      <c r="A165" s="20">
        <v>48</v>
      </c>
      <c r="B165" s="20">
        <v>2</v>
      </c>
      <c r="C165" s="20">
        <v>1</v>
      </c>
      <c r="D165" s="20">
        <v>0</v>
      </c>
      <c r="E165" s="20">
        <v>1</v>
      </c>
      <c r="F165" s="20">
        <v>1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x14ac:dyDescent="0.2">
      <c r="A166" s="20">
        <v>47</v>
      </c>
      <c r="B166" s="20">
        <v>2</v>
      </c>
      <c r="C166" s="20">
        <v>1</v>
      </c>
      <c r="D166" s="20">
        <v>12</v>
      </c>
      <c r="E166" s="20">
        <v>2.5</v>
      </c>
      <c r="F166" s="20">
        <v>0.5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x14ac:dyDescent="0.2">
      <c r="A167" s="20">
        <v>149</v>
      </c>
      <c r="B167" s="20">
        <v>2</v>
      </c>
      <c r="C167" s="20">
        <v>1</v>
      </c>
      <c r="D167" s="20">
        <v>0</v>
      </c>
      <c r="E167" s="20">
        <v>3</v>
      </c>
      <c r="F167" s="20">
        <v>0</v>
      </c>
      <c r="G167" s="20">
        <v>2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x14ac:dyDescent="0.2">
      <c r="A168" s="20">
        <v>150</v>
      </c>
      <c r="B168" s="20">
        <v>2</v>
      </c>
      <c r="C168" s="20">
        <v>1</v>
      </c>
      <c r="D168" s="20">
        <v>1</v>
      </c>
      <c r="E168" s="20">
        <v>2</v>
      </c>
      <c r="F168" s="20">
        <v>1.25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x14ac:dyDescent="0.2">
      <c r="A169" s="20">
        <v>153</v>
      </c>
      <c r="B169" s="20">
        <v>2</v>
      </c>
      <c r="C169" s="20">
        <v>1</v>
      </c>
      <c r="D169" s="20">
        <v>1</v>
      </c>
      <c r="E169" s="20">
        <v>0</v>
      </c>
      <c r="F169" s="20">
        <v>0.5</v>
      </c>
      <c r="G169" s="20">
        <v>0.5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x14ac:dyDescent="0.2">
      <c r="A170" s="20">
        <v>152</v>
      </c>
      <c r="B170" s="20">
        <v>2</v>
      </c>
      <c r="C170" s="20">
        <v>1</v>
      </c>
      <c r="D170" s="20">
        <v>0</v>
      </c>
      <c r="E170" s="20">
        <v>1.5</v>
      </c>
      <c r="F170" s="20">
        <v>1.5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x14ac:dyDescent="0.2">
      <c r="A171" s="20">
        <v>155</v>
      </c>
      <c r="B171" s="20">
        <v>2</v>
      </c>
      <c r="C171" s="20">
        <v>1</v>
      </c>
      <c r="D171" s="20">
        <v>2.5</v>
      </c>
      <c r="E171" s="20">
        <v>0.5</v>
      </c>
      <c r="F171" s="20">
        <v>0</v>
      </c>
      <c r="G171" s="20">
        <v>0.5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x14ac:dyDescent="0.2">
      <c r="A172" s="21">
        <v>154</v>
      </c>
      <c r="B172" s="21">
        <v>2</v>
      </c>
      <c r="C172" s="21">
        <v>1</v>
      </c>
      <c r="D172" s="21">
        <v>3</v>
      </c>
      <c r="E172" s="21">
        <v>0</v>
      </c>
      <c r="F172" s="21">
        <v>3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x14ac:dyDescent="0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spans="1:31" x14ac:dyDescent="0.2">
      <c r="A174" s="22">
        <v>163</v>
      </c>
      <c r="B174" s="22">
        <v>2</v>
      </c>
      <c r="C174" s="22">
        <v>1</v>
      </c>
      <c r="D174" s="22">
        <v>2</v>
      </c>
      <c r="E174" s="22">
        <v>1</v>
      </c>
      <c r="F174" s="22">
        <v>1.5</v>
      </c>
      <c r="G174" s="22">
        <v>1.5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x14ac:dyDescent="0.2">
      <c r="A175" s="20">
        <v>164</v>
      </c>
      <c r="B175" s="20">
        <v>2</v>
      </c>
      <c r="C175" s="20">
        <v>1</v>
      </c>
      <c r="D175" s="20">
        <v>1.5</v>
      </c>
      <c r="E175" s="20">
        <v>1.5</v>
      </c>
      <c r="F175" s="20">
        <v>1</v>
      </c>
      <c r="G175" s="20">
        <v>0</v>
      </c>
      <c r="H175" s="20">
        <v>0</v>
      </c>
      <c r="I175" s="20">
        <v>0</v>
      </c>
      <c r="J175" s="20">
        <v>0.5</v>
      </c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x14ac:dyDescent="0.2">
      <c r="A176" s="20">
        <v>165</v>
      </c>
      <c r="B176" s="20">
        <v>2</v>
      </c>
      <c r="C176" s="20">
        <v>1</v>
      </c>
      <c r="D176" s="20">
        <v>1.5</v>
      </c>
      <c r="E176" s="20">
        <v>1.5</v>
      </c>
      <c r="F176" s="20">
        <v>3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x14ac:dyDescent="0.2">
      <c r="A177" s="20">
        <v>56</v>
      </c>
      <c r="B177" s="20">
        <v>2</v>
      </c>
      <c r="C177" s="20">
        <v>1</v>
      </c>
      <c r="D177" s="20">
        <v>0.25</v>
      </c>
      <c r="E177" s="20">
        <v>1.25</v>
      </c>
      <c r="F177" s="20">
        <v>0.25</v>
      </c>
      <c r="G177" s="20">
        <v>1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x14ac:dyDescent="0.2">
      <c r="A178" s="20">
        <v>58</v>
      </c>
      <c r="B178" s="20">
        <v>2</v>
      </c>
      <c r="C178" s="20">
        <v>1</v>
      </c>
      <c r="D178" s="20">
        <v>0.5</v>
      </c>
      <c r="E178" s="20">
        <v>1</v>
      </c>
      <c r="F178" s="20">
        <v>0.5</v>
      </c>
      <c r="G178" s="20">
        <v>0</v>
      </c>
      <c r="H178" s="20">
        <v>0</v>
      </c>
      <c r="I178" s="20">
        <v>0</v>
      </c>
      <c r="J178" s="20">
        <v>1</v>
      </c>
      <c r="K178" s="20">
        <v>0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x14ac:dyDescent="0.2">
      <c r="A179" s="20">
        <v>59</v>
      </c>
      <c r="B179" s="20">
        <v>2</v>
      </c>
      <c r="C179" s="20">
        <v>1</v>
      </c>
      <c r="D179" s="20">
        <v>2.5</v>
      </c>
      <c r="E179" s="20">
        <v>0.5</v>
      </c>
      <c r="F179" s="20">
        <v>3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x14ac:dyDescent="0.2">
      <c r="A180" s="20">
        <v>60</v>
      </c>
      <c r="B180" s="20">
        <v>2</v>
      </c>
      <c r="C180" s="20">
        <v>1</v>
      </c>
      <c r="D180" s="20">
        <v>1</v>
      </c>
      <c r="E180" s="20">
        <v>2</v>
      </c>
      <c r="F180" s="20">
        <v>1</v>
      </c>
      <c r="G180" s="20"/>
      <c r="H180" s="20"/>
      <c r="I180" s="20"/>
      <c r="J180" s="20">
        <v>2</v>
      </c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x14ac:dyDescent="0.2">
      <c r="A181" s="20">
        <v>61</v>
      </c>
      <c r="B181" s="20">
        <v>2</v>
      </c>
      <c r="C181" s="20">
        <v>1</v>
      </c>
      <c r="D181" s="20">
        <v>3</v>
      </c>
      <c r="E181" s="20">
        <v>0</v>
      </c>
      <c r="F181" s="20">
        <v>4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x14ac:dyDescent="0.2">
      <c r="A182" s="20">
        <v>62</v>
      </c>
      <c r="B182" s="20">
        <v>2</v>
      </c>
      <c r="C182" s="20">
        <v>1</v>
      </c>
      <c r="D182" s="20">
        <v>2.5</v>
      </c>
      <c r="E182" s="20">
        <v>0</v>
      </c>
      <c r="F182" s="20">
        <v>2.5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x14ac:dyDescent="0.2">
      <c r="A183" s="20">
        <v>63</v>
      </c>
      <c r="B183" s="20">
        <v>2</v>
      </c>
      <c r="C183" s="20">
        <v>1</v>
      </c>
      <c r="D183" s="20">
        <v>0.5</v>
      </c>
      <c r="E183" s="20">
        <v>1</v>
      </c>
      <c r="F183" s="20">
        <v>0.75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x14ac:dyDescent="0.2">
      <c r="A184" s="20">
        <v>65</v>
      </c>
      <c r="B184" s="20">
        <v>2</v>
      </c>
      <c r="C184" s="20">
        <v>1</v>
      </c>
      <c r="D184" s="20">
        <v>0</v>
      </c>
      <c r="E184" s="20">
        <v>3</v>
      </c>
      <c r="F184" s="20">
        <v>2</v>
      </c>
      <c r="G184" s="20">
        <v>1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x14ac:dyDescent="0.2">
      <c r="A185" s="20">
        <v>162</v>
      </c>
      <c r="B185" s="20">
        <v>2</v>
      </c>
      <c r="C185" s="20">
        <v>1</v>
      </c>
      <c r="D185" s="20">
        <v>0.5</v>
      </c>
      <c r="E185" s="20">
        <v>1</v>
      </c>
      <c r="F185" s="20">
        <v>0.5</v>
      </c>
      <c r="G185" s="20">
        <v>1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x14ac:dyDescent="0.2">
      <c r="A186" s="20">
        <v>158</v>
      </c>
      <c r="B186" s="20">
        <v>2</v>
      </c>
      <c r="C186" s="20">
        <v>1</v>
      </c>
      <c r="D186" s="20">
        <v>1.5</v>
      </c>
      <c r="E186" s="20">
        <v>3</v>
      </c>
      <c r="F186" s="20">
        <v>1.5</v>
      </c>
      <c r="G186" s="20">
        <v>0.75</v>
      </c>
      <c r="H186" s="20">
        <v>0</v>
      </c>
      <c r="I186" s="20">
        <v>0</v>
      </c>
      <c r="J186" s="20">
        <v>0.5</v>
      </c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x14ac:dyDescent="0.2">
      <c r="A187" s="20">
        <v>159</v>
      </c>
      <c r="B187" s="20">
        <v>2</v>
      </c>
      <c r="C187" s="20">
        <v>1</v>
      </c>
      <c r="D187" s="20">
        <v>2</v>
      </c>
      <c r="E187" s="20">
        <v>1</v>
      </c>
      <c r="F187" s="20">
        <v>2</v>
      </c>
      <c r="G187" s="20">
        <v>0</v>
      </c>
      <c r="H187" s="20">
        <v>0</v>
      </c>
      <c r="I187" s="20">
        <v>0.5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x14ac:dyDescent="0.2">
      <c r="A188" s="20">
        <v>160</v>
      </c>
      <c r="B188" s="20">
        <v>2</v>
      </c>
      <c r="C188" s="20">
        <v>1</v>
      </c>
      <c r="D188" s="20">
        <v>0.25</v>
      </c>
      <c r="E188" s="20">
        <v>1.25</v>
      </c>
      <c r="F188" s="20">
        <v>0.5</v>
      </c>
      <c r="G188" s="20">
        <v>1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x14ac:dyDescent="0.2">
      <c r="A189" s="20">
        <v>161</v>
      </c>
      <c r="B189" s="20">
        <v>2</v>
      </c>
      <c r="C189" s="20">
        <v>1</v>
      </c>
      <c r="D189" s="20">
        <v>0.5</v>
      </c>
      <c r="E189" s="20">
        <v>2.75</v>
      </c>
      <c r="F189" s="20">
        <v>0.5</v>
      </c>
      <c r="G189" s="20">
        <v>1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x14ac:dyDescent="0.2">
      <c r="A190" s="20">
        <v>215</v>
      </c>
      <c r="B190" s="20">
        <v>2</v>
      </c>
      <c r="C190" s="20">
        <v>1</v>
      </c>
      <c r="D190" s="20">
        <v>3</v>
      </c>
      <c r="E190" s="20">
        <v>0</v>
      </c>
      <c r="F190" s="20">
        <v>3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x14ac:dyDescent="0.2">
      <c r="A191" s="20">
        <v>57</v>
      </c>
      <c r="B191" s="20">
        <v>2</v>
      </c>
      <c r="C191" s="20">
        <v>1</v>
      </c>
      <c r="D191" s="20">
        <v>0</v>
      </c>
      <c r="E191" s="20">
        <v>1.5</v>
      </c>
      <c r="F191" s="20">
        <v>0</v>
      </c>
      <c r="G191" s="20">
        <v>1.5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x14ac:dyDescent="0.2">
      <c r="A192" s="21">
        <v>166</v>
      </c>
      <c r="B192" s="21">
        <v>2</v>
      </c>
      <c r="C192" s="21">
        <v>1</v>
      </c>
      <c r="D192" s="21">
        <v>0</v>
      </c>
      <c r="E192" s="21">
        <v>1.5</v>
      </c>
      <c r="F192" s="21">
        <v>0</v>
      </c>
      <c r="G192" s="21">
        <v>0</v>
      </c>
      <c r="H192" s="21">
        <v>0</v>
      </c>
      <c r="I192" s="21">
        <v>0</v>
      </c>
      <c r="J192" s="21">
        <v>1.5</v>
      </c>
      <c r="K192" s="21">
        <v>0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x14ac:dyDescent="0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 spans="1:31" x14ac:dyDescent="0.2">
      <c r="A194" s="22">
        <v>167</v>
      </c>
      <c r="B194" s="22">
        <v>2</v>
      </c>
      <c r="C194" s="22">
        <v>1</v>
      </c>
      <c r="D194" s="22">
        <v>0</v>
      </c>
      <c r="E194" s="22">
        <v>3</v>
      </c>
      <c r="F194" s="22">
        <v>0.5</v>
      </c>
      <c r="G194" s="22">
        <v>1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x14ac:dyDescent="0.2">
      <c r="A195" s="20">
        <v>166</v>
      </c>
      <c r="B195" s="20">
        <v>2</v>
      </c>
      <c r="C195" s="20">
        <v>1</v>
      </c>
      <c r="D195" s="20">
        <v>0.75</v>
      </c>
      <c r="E195" s="20">
        <v>2.25</v>
      </c>
      <c r="F195" s="20">
        <v>3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x14ac:dyDescent="0.2">
      <c r="A196" s="20">
        <v>64</v>
      </c>
      <c r="B196" s="20">
        <v>2</v>
      </c>
      <c r="C196" s="20">
        <v>1</v>
      </c>
      <c r="D196" s="20">
        <v>1.75</v>
      </c>
      <c r="E196" s="20">
        <v>1.25</v>
      </c>
      <c r="F196" s="20">
        <v>3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x14ac:dyDescent="0.2">
      <c r="A197" s="20">
        <v>228</v>
      </c>
      <c r="B197" s="20">
        <v>2</v>
      </c>
      <c r="C197" s="20">
        <v>1</v>
      </c>
      <c r="D197" s="20">
        <v>0.5</v>
      </c>
      <c r="E197" s="20">
        <v>1</v>
      </c>
      <c r="F197" s="20">
        <v>0.5</v>
      </c>
      <c r="G197" s="20">
        <v>0</v>
      </c>
      <c r="H197" s="20">
        <v>0</v>
      </c>
      <c r="I197" s="20">
        <v>0</v>
      </c>
      <c r="J197" s="20">
        <v>1</v>
      </c>
      <c r="K197" s="20"/>
      <c r="L197" s="20">
        <v>3</v>
      </c>
      <c r="M197" s="20">
        <v>1</v>
      </c>
      <c r="N197" s="20">
        <v>2</v>
      </c>
      <c r="O197" s="20">
        <v>0</v>
      </c>
      <c r="P197" s="20">
        <v>2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x14ac:dyDescent="0.2">
      <c r="A198" s="20">
        <v>316</v>
      </c>
      <c r="B198" s="20">
        <v>2</v>
      </c>
      <c r="C198" s="20">
        <v>1</v>
      </c>
      <c r="D198" s="20">
        <v>2.5</v>
      </c>
      <c r="E198" s="20">
        <v>3.5</v>
      </c>
      <c r="F198" s="20">
        <v>1.5</v>
      </c>
      <c r="G198" s="20">
        <v>3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x14ac:dyDescent="0.2">
      <c r="A199" s="20">
        <v>268</v>
      </c>
      <c r="B199" s="20">
        <v>2</v>
      </c>
      <c r="C199" s="20">
        <v>1</v>
      </c>
      <c r="D199" s="20">
        <v>1</v>
      </c>
      <c r="E199" s="20">
        <v>0.5</v>
      </c>
      <c r="F199" s="20">
        <v>1.25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x14ac:dyDescent="0.2">
      <c r="A200" s="20">
        <v>66</v>
      </c>
      <c r="B200" s="20">
        <v>2</v>
      </c>
      <c r="C200" s="20">
        <v>1</v>
      </c>
      <c r="D200" s="20">
        <v>0</v>
      </c>
      <c r="E200" s="20">
        <v>1.5</v>
      </c>
      <c r="F200" s="20">
        <v>0.75</v>
      </c>
      <c r="G200" s="20">
        <v>0.75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x14ac:dyDescent="0.2">
      <c r="A201" s="20">
        <v>68</v>
      </c>
      <c r="B201" s="20">
        <v>2</v>
      </c>
      <c r="C201" s="20">
        <v>1</v>
      </c>
      <c r="D201" s="20">
        <v>0</v>
      </c>
      <c r="E201" s="20">
        <v>1.5</v>
      </c>
      <c r="F201" s="20">
        <v>0</v>
      </c>
      <c r="G201" s="20">
        <v>1.5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x14ac:dyDescent="0.2">
      <c r="A202" s="20">
        <v>67</v>
      </c>
      <c r="B202" s="20">
        <v>2</v>
      </c>
      <c r="C202" s="20">
        <v>1</v>
      </c>
      <c r="D202" s="20">
        <v>0</v>
      </c>
      <c r="E202" s="20">
        <v>1.5</v>
      </c>
      <c r="F202" s="20">
        <v>0</v>
      </c>
      <c r="G202" s="20">
        <v>0</v>
      </c>
      <c r="H202" s="20">
        <v>0</v>
      </c>
      <c r="I202" s="20">
        <v>0</v>
      </c>
      <c r="J202" s="20">
        <v>1</v>
      </c>
      <c r="K202" s="20">
        <v>0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x14ac:dyDescent="0.2">
      <c r="A203" s="20">
        <v>168</v>
      </c>
      <c r="B203" s="20">
        <v>2</v>
      </c>
      <c r="C203" s="20">
        <v>1</v>
      </c>
      <c r="D203" s="20">
        <v>0</v>
      </c>
      <c r="E203" s="20">
        <v>0.5</v>
      </c>
      <c r="F203" s="20">
        <v>0</v>
      </c>
      <c r="G203" s="20">
        <v>0.5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x14ac:dyDescent="0.2">
      <c r="A204" s="21">
        <v>179</v>
      </c>
      <c r="B204" s="21">
        <v>2</v>
      </c>
      <c r="C204" s="21">
        <v>1</v>
      </c>
      <c r="D204" s="21">
        <v>0</v>
      </c>
      <c r="E204" s="21">
        <v>1.5</v>
      </c>
      <c r="F204" s="21">
        <v>0</v>
      </c>
      <c r="G204" s="21">
        <v>0.25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spans="1:31" x14ac:dyDescent="0.2">
      <c r="A206" s="22">
        <v>72</v>
      </c>
      <c r="B206" s="22">
        <v>2</v>
      </c>
      <c r="C206" s="22">
        <v>1</v>
      </c>
      <c r="D206" s="22">
        <v>0.5</v>
      </c>
      <c r="E206" s="22">
        <v>2</v>
      </c>
      <c r="F206" s="22">
        <v>0.5</v>
      </c>
      <c r="G206" s="22">
        <v>1</v>
      </c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 x14ac:dyDescent="0.2">
      <c r="A207" s="20">
        <v>74</v>
      </c>
      <c r="B207" s="20">
        <v>2</v>
      </c>
      <c r="C207" s="20">
        <v>1</v>
      </c>
      <c r="D207" s="20">
        <v>1.5</v>
      </c>
      <c r="E207" s="20">
        <v>1.5</v>
      </c>
      <c r="F207" s="20">
        <v>1.5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x14ac:dyDescent="0.2">
      <c r="A208" s="20">
        <v>176</v>
      </c>
      <c r="B208" s="20">
        <v>1</v>
      </c>
      <c r="C208" s="20">
        <v>1</v>
      </c>
      <c r="D208" s="20">
        <v>0.5</v>
      </c>
      <c r="E208" s="20">
        <v>1</v>
      </c>
      <c r="F208" s="20">
        <v>1.5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x14ac:dyDescent="0.2">
      <c r="A209" s="20">
        <v>175</v>
      </c>
      <c r="B209" s="20">
        <v>1</v>
      </c>
      <c r="C209" s="20">
        <v>1</v>
      </c>
      <c r="D209" s="20">
        <v>0.5</v>
      </c>
      <c r="E209" s="20">
        <v>2.5</v>
      </c>
      <c r="F209" s="20">
        <v>0.5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x14ac:dyDescent="0.2">
      <c r="A210" s="20">
        <v>174</v>
      </c>
      <c r="B210" s="20">
        <v>1</v>
      </c>
      <c r="C210" s="20">
        <v>1</v>
      </c>
      <c r="D210" s="20">
        <v>1</v>
      </c>
      <c r="E210" s="20">
        <v>1.5</v>
      </c>
      <c r="F210" s="20">
        <v>2.5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x14ac:dyDescent="0.2">
      <c r="A211" s="20">
        <v>173</v>
      </c>
      <c r="B211" s="20">
        <v>2</v>
      </c>
      <c r="C211" s="20">
        <v>1</v>
      </c>
      <c r="D211" s="20">
        <v>1.75</v>
      </c>
      <c r="E211" s="20">
        <v>0</v>
      </c>
      <c r="F211" s="20">
        <v>1.75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x14ac:dyDescent="0.2">
      <c r="A212" s="20">
        <v>172</v>
      </c>
      <c r="B212" s="20">
        <v>2</v>
      </c>
      <c r="C212" s="20">
        <v>1</v>
      </c>
      <c r="D212" s="20">
        <v>0.25</v>
      </c>
      <c r="E212" s="20">
        <v>2.25</v>
      </c>
      <c r="F212" s="20">
        <v>2.5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x14ac:dyDescent="0.2">
      <c r="A213" s="20">
        <v>171</v>
      </c>
      <c r="B213" s="20">
        <v>2</v>
      </c>
      <c r="C213" s="20">
        <v>1</v>
      </c>
      <c r="D213" s="20">
        <v>0.75</v>
      </c>
      <c r="E213" s="20">
        <v>2.25</v>
      </c>
      <c r="F213" s="20">
        <v>3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x14ac:dyDescent="0.2">
      <c r="A214" s="20">
        <v>71</v>
      </c>
      <c r="B214" s="20">
        <v>2</v>
      </c>
      <c r="C214" s="20">
        <v>1</v>
      </c>
      <c r="D214" s="20">
        <v>2</v>
      </c>
      <c r="E214" s="20">
        <v>0</v>
      </c>
      <c r="F214" s="20">
        <v>2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x14ac:dyDescent="0.2">
      <c r="A215" s="20">
        <v>70</v>
      </c>
      <c r="B215" s="20">
        <v>2</v>
      </c>
      <c r="C215" s="20">
        <v>1</v>
      </c>
      <c r="D215" s="20">
        <v>1.5</v>
      </c>
      <c r="E215" s="20">
        <v>1.5</v>
      </c>
      <c r="F215" s="20">
        <v>3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x14ac:dyDescent="0.2">
      <c r="A216" s="20">
        <v>69</v>
      </c>
      <c r="B216" s="20">
        <v>2</v>
      </c>
      <c r="C216" s="20">
        <v>1</v>
      </c>
      <c r="D216" s="20">
        <v>2</v>
      </c>
      <c r="E216" s="20">
        <v>1</v>
      </c>
      <c r="F216" s="20">
        <v>3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x14ac:dyDescent="0.2">
      <c r="A217" s="20">
        <v>177</v>
      </c>
      <c r="B217" s="20">
        <v>2</v>
      </c>
      <c r="C217" s="20">
        <v>1</v>
      </c>
      <c r="D217" s="20">
        <v>0</v>
      </c>
      <c r="E217" s="20">
        <v>0.5</v>
      </c>
      <c r="F217" s="20">
        <v>0.5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x14ac:dyDescent="0.2">
      <c r="A218" s="20">
        <v>75</v>
      </c>
      <c r="B218" s="20">
        <v>2</v>
      </c>
      <c r="C218" s="20">
        <v>1</v>
      </c>
      <c r="D218" s="20">
        <v>0</v>
      </c>
      <c r="E218" s="20">
        <v>3</v>
      </c>
      <c r="F218" s="20">
        <v>0</v>
      </c>
      <c r="G218" s="20">
        <v>0.5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x14ac:dyDescent="0.2">
      <c r="A219" s="21">
        <v>73</v>
      </c>
      <c r="B219" s="21">
        <v>2</v>
      </c>
      <c r="C219" s="21">
        <v>1</v>
      </c>
      <c r="D219" s="21">
        <v>0</v>
      </c>
      <c r="E219" s="21">
        <v>2.75</v>
      </c>
      <c r="F219" s="21">
        <v>0</v>
      </c>
      <c r="G219" s="21">
        <v>1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x14ac:dyDescent="0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</row>
    <row r="221" spans="1:31" x14ac:dyDescent="0.2">
      <c r="A221" s="22">
        <v>216</v>
      </c>
      <c r="B221" s="22">
        <v>2</v>
      </c>
      <c r="C221" s="22">
        <v>1</v>
      </c>
      <c r="D221" s="22">
        <v>0</v>
      </c>
      <c r="E221" s="22">
        <v>1.5</v>
      </c>
      <c r="F221" s="22">
        <v>0.5</v>
      </c>
      <c r="G221" s="22">
        <v>0</v>
      </c>
      <c r="H221" s="22">
        <v>0</v>
      </c>
      <c r="I221" s="22">
        <v>0.25</v>
      </c>
      <c r="J221" s="22">
        <v>0</v>
      </c>
      <c r="K221" s="22">
        <v>0.25</v>
      </c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 x14ac:dyDescent="0.2">
      <c r="A222" s="20">
        <v>217</v>
      </c>
      <c r="B222" s="20">
        <v>2</v>
      </c>
      <c r="C222" s="20">
        <v>1</v>
      </c>
      <c r="D222" s="20">
        <v>1</v>
      </c>
      <c r="E222" s="20">
        <v>2</v>
      </c>
      <c r="F222" s="20">
        <v>1</v>
      </c>
      <c r="G222" s="20">
        <v>2</v>
      </c>
      <c r="H222" s="20">
        <v>0</v>
      </c>
      <c r="I222" s="20">
        <v>0</v>
      </c>
      <c r="J222" s="20">
        <v>0</v>
      </c>
      <c r="K222" s="20">
        <v>0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x14ac:dyDescent="0.2">
      <c r="A223" s="20">
        <v>218</v>
      </c>
      <c r="B223" s="20">
        <v>2</v>
      </c>
      <c r="C223" s="20">
        <v>1</v>
      </c>
      <c r="D223" s="20">
        <v>1</v>
      </c>
      <c r="E223" s="20">
        <v>2</v>
      </c>
      <c r="F223" s="20">
        <v>1.5</v>
      </c>
      <c r="G223" s="20">
        <v>0</v>
      </c>
      <c r="H223" s="20">
        <v>1</v>
      </c>
      <c r="I223" s="20">
        <v>0</v>
      </c>
      <c r="J223" s="20">
        <v>0</v>
      </c>
      <c r="K223" s="20">
        <v>0.5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x14ac:dyDescent="0.2">
      <c r="A224" s="20">
        <v>81</v>
      </c>
      <c r="B224" s="20">
        <v>2</v>
      </c>
      <c r="C224" s="20">
        <v>1</v>
      </c>
      <c r="D224" s="20">
        <v>1</v>
      </c>
      <c r="E224" s="20">
        <v>0.5</v>
      </c>
      <c r="F224" s="20">
        <v>1.5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x14ac:dyDescent="0.2">
      <c r="A225" s="20">
        <v>82</v>
      </c>
      <c r="B225" s="20">
        <v>2</v>
      </c>
      <c r="C225" s="20">
        <v>1</v>
      </c>
      <c r="D225" s="20">
        <v>1</v>
      </c>
      <c r="E225" s="20">
        <v>2</v>
      </c>
      <c r="F225" s="20">
        <v>0.75</v>
      </c>
      <c r="G225" s="20">
        <v>0</v>
      </c>
      <c r="H225" s="20">
        <v>0</v>
      </c>
      <c r="I225" s="20">
        <v>0.75</v>
      </c>
      <c r="J225" s="20">
        <v>0</v>
      </c>
      <c r="K225" s="20">
        <v>0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x14ac:dyDescent="0.2">
      <c r="A226" s="20">
        <v>83</v>
      </c>
      <c r="B226" s="20">
        <v>2</v>
      </c>
      <c r="C226" s="20">
        <v>1</v>
      </c>
      <c r="D226" s="20">
        <v>0</v>
      </c>
      <c r="E226" s="20">
        <v>3</v>
      </c>
      <c r="F226" s="20">
        <v>2.5</v>
      </c>
      <c r="G226" s="20">
        <v>0.5</v>
      </c>
      <c r="H226" s="20">
        <v>0</v>
      </c>
      <c r="I226" s="20">
        <v>0</v>
      </c>
      <c r="J226" s="20">
        <v>0</v>
      </c>
      <c r="K226" s="20">
        <v>0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x14ac:dyDescent="0.2">
      <c r="A227" s="20">
        <v>84</v>
      </c>
      <c r="B227" s="20">
        <v>2</v>
      </c>
      <c r="C227" s="20">
        <v>1</v>
      </c>
      <c r="D227" s="20">
        <v>1</v>
      </c>
      <c r="E227" s="20">
        <v>2</v>
      </c>
      <c r="F227" s="20">
        <v>2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x14ac:dyDescent="0.2">
      <c r="A228" s="20">
        <v>85</v>
      </c>
      <c r="B228" s="20">
        <v>2</v>
      </c>
      <c r="C228" s="20">
        <v>1</v>
      </c>
      <c r="D228" s="20">
        <v>0</v>
      </c>
      <c r="E228" s="20">
        <v>3</v>
      </c>
      <c r="F228" s="20">
        <v>1</v>
      </c>
      <c r="G228" s="20">
        <v>0</v>
      </c>
      <c r="H228" s="20">
        <v>0</v>
      </c>
      <c r="I228" s="20">
        <v>1</v>
      </c>
      <c r="J228" s="20">
        <v>0</v>
      </c>
      <c r="K228" s="20">
        <v>0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x14ac:dyDescent="0.2">
      <c r="A229" s="20">
        <v>86</v>
      </c>
      <c r="B229" s="20">
        <v>2</v>
      </c>
      <c r="C229" s="20">
        <v>1</v>
      </c>
      <c r="D229" s="20">
        <v>0.25</v>
      </c>
      <c r="E229" s="20">
        <v>1.25</v>
      </c>
      <c r="F229" s="20">
        <v>0.25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x14ac:dyDescent="0.2">
      <c r="A230" s="20">
        <v>87</v>
      </c>
      <c r="B230" s="20">
        <v>2</v>
      </c>
      <c r="C230" s="20">
        <v>1</v>
      </c>
      <c r="D230" s="20">
        <v>0.5</v>
      </c>
      <c r="E230" s="20">
        <v>1.25</v>
      </c>
      <c r="F230" s="20">
        <v>1.25</v>
      </c>
      <c r="G230" s="20">
        <v>0.75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x14ac:dyDescent="0.2">
      <c r="A231" s="20">
        <v>88</v>
      </c>
      <c r="B231" s="20">
        <v>2</v>
      </c>
      <c r="C231" s="20">
        <v>1</v>
      </c>
      <c r="D231" s="20">
        <v>0</v>
      </c>
      <c r="E231" s="20">
        <v>3</v>
      </c>
      <c r="F231" s="20">
        <v>0</v>
      </c>
      <c r="G231" s="20">
        <v>1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x14ac:dyDescent="0.2">
      <c r="A232" s="20">
        <v>89</v>
      </c>
      <c r="B232" s="20">
        <v>2</v>
      </c>
      <c r="C232" s="20">
        <v>1</v>
      </c>
      <c r="D232" s="20">
        <v>3</v>
      </c>
      <c r="E232" s="20">
        <v>0</v>
      </c>
      <c r="F232" s="20">
        <v>3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x14ac:dyDescent="0.2">
      <c r="A233" s="20">
        <v>90</v>
      </c>
      <c r="B233" s="20">
        <v>2</v>
      </c>
      <c r="C233" s="20">
        <v>1</v>
      </c>
      <c r="D233" s="20">
        <v>0.25</v>
      </c>
      <c r="E233" s="20">
        <v>2.25</v>
      </c>
      <c r="F233" s="20">
        <v>2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x14ac:dyDescent="0.2">
      <c r="A234" s="20">
        <v>91</v>
      </c>
      <c r="B234" s="20">
        <v>2</v>
      </c>
      <c r="C234" s="20">
        <v>1</v>
      </c>
      <c r="D234" s="20">
        <v>1.5</v>
      </c>
      <c r="E234" s="20">
        <v>1.5</v>
      </c>
      <c r="F234" s="20">
        <v>3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x14ac:dyDescent="0.2">
      <c r="A235" s="20">
        <v>92</v>
      </c>
      <c r="B235" s="20">
        <v>2</v>
      </c>
      <c r="C235" s="20">
        <v>1</v>
      </c>
      <c r="D235" s="20">
        <v>0.25</v>
      </c>
      <c r="E235" s="20">
        <v>2.75</v>
      </c>
      <c r="F235" s="20">
        <v>0.5</v>
      </c>
      <c r="G235" s="20">
        <v>1</v>
      </c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x14ac:dyDescent="0.2">
      <c r="A236" s="20">
        <v>93</v>
      </c>
      <c r="B236" s="20">
        <v>2</v>
      </c>
      <c r="C236" s="20">
        <v>1</v>
      </c>
      <c r="D236" s="20">
        <v>0.5</v>
      </c>
      <c r="E236" s="20">
        <v>2.5</v>
      </c>
      <c r="F236" s="20">
        <v>1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x14ac:dyDescent="0.2">
      <c r="A237" s="20">
        <v>94</v>
      </c>
      <c r="B237" s="20">
        <v>2</v>
      </c>
      <c r="C237" s="20">
        <v>1</v>
      </c>
      <c r="D237" s="20">
        <v>1.5</v>
      </c>
      <c r="E237" s="20">
        <v>1.5</v>
      </c>
      <c r="F237" s="20">
        <v>3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x14ac:dyDescent="0.2">
      <c r="A238" s="20">
        <v>95</v>
      </c>
      <c r="B238" s="20">
        <v>2</v>
      </c>
      <c r="C238" s="20">
        <v>1</v>
      </c>
      <c r="D238" s="20">
        <v>1.5</v>
      </c>
      <c r="E238" s="20">
        <v>1</v>
      </c>
      <c r="F238" s="20">
        <v>1.5</v>
      </c>
      <c r="G238" s="20">
        <v>1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x14ac:dyDescent="0.2">
      <c r="A239" s="20">
        <v>184</v>
      </c>
      <c r="B239" s="20">
        <v>2</v>
      </c>
      <c r="C239" s="20">
        <v>1</v>
      </c>
      <c r="D239" s="20">
        <v>0.5</v>
      </c>
      <c r="E239" s="20">
        <v>2.5</v>
      </c>
      <c r="F239" s="20">
        <v>2</v>
      </c>
      <c r="G239" s="20">
        <v>1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x14ac:dyDescent="0.2">
      <c r="A240" s="20">
        <v>185</v>
      </c>
      <c r="B240" s="20">
        <v>2</v>
      </c>
      <c r="C240" s="20">
        <v>1</v>
      </c>
      <c r="D240" s="20">
        <v>2</v>
      </c>
      <c r="E240" s="20">
        <v>1</v>
      </c>
      <c r="F240" s="20">
        <v>2.5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x14ac:dyDescent="0.2">
      <c r="A241" s="20">
        <v>186</v>
      </c>
      <c r="B241" s="20">
        <v>2</v>
      </c>
      <c r="C241" s="20">
        <v>1</v>
      </c>
      <c r="D241" s="20">
        <v>2</v>
      </c>
      <c r="E241" s="20">
        <v>1</v>
      </c>
      <c r="F241" s="20">
        <v>2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x14ac:dyDescent="0.2">
      <c r="A242" s="20">
        <v>187</v>
      </c>
      <c r="B242" s="20">
        <v>2</v>
      </c>
      <c r="C242" s="20">
        <v>1</v>
      </c>
      <c r="D242" s="20">
        <v>1</v>
      </c>
      <c r="E242" s="20">
        <v>2</v>
      </c>
      <c r="F242" s="20">
        <v>3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x14ac:dyDescent="0.2">
      <c r="A243" s="20">
        <v>188</v>
      </c>
      <c r="B243" s="20">
        <v>2</v>
      </c>
      <c r="C243" s="20">
        <v>1</v>
      </c>
      <c r="D243" s="20">
        <v>2</v>
      </c>
      <c r="E243" s="20">
        <v>1</v>
      </c>
      <c r="F243" s="20">
        <v>3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x14ac:dyDescent="0.2">
      <c r="A244" s="20">
        <v>189</v>
      </c>
      <c r="B244" s="20">
        <v>2</v>
      </c>
      <c r="C244" s="20">
        <v>1</v>
      </c>
      <c r="D244" s="20">
        <v>1.5</v>
      </c>
      <c r="E244" s="20">
        <v>1.5</v>
      </c>
      <c r="F244" s="20">
        <v>1.5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x14ac:dyDescent="0.2">
      <c r="A245" s="20">
        <v>190</v>
      </c>
      <c r="B245" s="20">
        <v>2</v>
      </c>
      <c r="C245" s="20">
        <v>1</v>
      </c>
      <c r="D245" s="20">
        <v>2</v>
      </c>
      <c r="E245" s="20">
        <v>1</v>
      </c>
      <c r="F245" s="20">
        <v>2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x14ac:dyDescent="0.2">
      <c r="A246" s="20">
        <v>191</v>
      </c>
      <c r="B246" s="20">
        <v>2</v>
      </c>
      <c r="C246" s="20">
        <v>1</v>
      </c>
      <c r="D246" s="20">
        <v>0</v>
      </c>
      <c r="E246" s="20">
        <v>3</v>
      </c>
      <c r="F246" s="20">
        <v>3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x14ac:dyDescent="0.2">
      <c r="A247" s="20">
        <v>192</v>
      </c>
      <c r="B247" s="20">
        <v>2</v>
      </c>
      <c r="C247" s="20">
        <v>1</v>
      </c>
      <c r="D247" s="20">
        <v>1</v>
      </c>
      <c r="E247" s="20">
        <v>2</v>
      </c>
      <c r="F247" s="20">
        <v>1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x14ac:dyDescent="0.2">
      <c r="A248" s="20">
        <v>193</v>
      </c>
      <c r="B248" s="20">
        <v>2</v>
      </c>
      <c r="C248" s="20">
        <v>1</v>
      </c>
      <c r="D248" s="20">
        <v>0</v>
      </c>
      <c r="E248" s="20">
        <v>2.5</v>
      </c>
      <c r="F248" s="20">
        <v>1.5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x14ac:dyDescent="0.2">
      <c r="A249" s="21">
        <v>313</v>
      </c>
      <c r="B249" s="21">
        <v>2</v>
      </c>
      <c r="C249" s="21">
        <v>1</v>
      </c>
      <c r="D249" s="21">
        <v>1.25</v>
      </c>
      <c r="E249" s="21">
        <v>1.75</v>
      </c>
      <c r="F249" s="21">
        <v>1</v>
      </c>
      <c r="G249" s="21">
        <v>0</v>
      </c>
      <c r="H249" s="21">
        <v>0</v>
      </c>
      <c r="I249" s="21">
        <v>0.5</v>
      </c>
      <c r="J249" s="21">
        <v>1.5</v>
      </c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x14ac:dyDescent="0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</row>
    <row r="251" spans="1:31" x14ac:dyDescent="0.2">
      <c r="A251" s="22">
        <v>219</v>
      </c>
      <c r="B251" s="22">
        <v>2</v>
      </c>
      <c r="C251" s="22">
        <v>1</v>
      </c>
      <c r="D251" s="22">
        <v>0.5</v>
      </c>
      <c r="E251" s="22">
        <v>2.5</v>
      </c>
      <c r="F251" s="22">
        <v>3</v>
      </c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 x14ac:dyDescent="0.2">
      <c r="A252" s="20">
        <v>306</v>
      </c>
      <c r="B252" s="20">
        <v>2</v>
      </c>
      <c r="C252" s="20">
        <v>1</v>
      </c>
      <c r="D252" s="20">
        <v>1</v>
      </c>
      <c r="E252" s="20">
        <v>2</v>
      </c>
      <c r="F252" s="20">
        <v>2.5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x14ac:dyDescent="0.2">
      <c r="A253" s="20">
        <v>220</v>
      </c>
      <c r="B253" s="20">
        <v>2</v>
      </c>
      <c r="C253" s="20">
        <v>1</v>
      </c>
      <c r="D253" s="20">
        <v>0.5</v>
      </c>
      <c r="E253" s="20">
        <v>1</v>
      </c>
      <c r="F253" s="20">
        <v>1</v>
      </c>
      <c r="G253" s="20">
        <v>0</v>
      </c>
      <c r="H253" s="20">
        <v>0</v>
      </c>
      <c r="I253" s="20">
        <v>0</v>
      </c>
      <c r="J253" s="20">
        <v>0.25</v>
      </c>
      <c r="K253" s="20">
        <v>0.25</v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x14ac:dyDescent="0.2">
      <c r="A254" s="20">
        <v>307</v>
      </c>
      <c r="B254" s="20">
        <v>2</v>
      </c>
      <c r="C254" s="20">
        <v>1</v>
      </c>
      <c r="D254" s="20">
        <v>2.25</v>
      </c>
      <c r="E254" s="20">
        <v>0.75</v>
      </c>
      <c r="F254" s="20">
        <v>3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x14ac:dyDescent="0.2">
      <c r="A255" s="20">
        <v>268</v>
      </c>
      <c r="B255" s="20">
        <v>2</v>
      </c>
      <c r="C255" s="20">
        <v>1</v>
      </c>
      <c r="D255" s="20">
        <v>1</v>
      </c>
      <c r="E255" s="20">
        <v>2</v>
      </c>
      <c r="F255" s="20">
        <v>1.5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x14ac:dyDescent="0.2">
      <c r="A256" s="20">
        <v>221</v>
      </c>
      <c r="B256" s="20">
        <v>2</v>
      </c>
      <c r="C256" s="20">
        <v>1</v>
      </c>
      <c r="D256" s="20">
        <v>3.5</v>
      </c>
      <c r="E256" s="20">
        <v>0</v>
      </c>
      <c r="F256" s="20">
        <v>3.5</v>
      </c>
      <c r="G256" s="20"/>
      <c r="H256" s="20"/>
      <c r="I256" s="20"/>
      <c r="J256" s="20"/>
      <c r="K256" s="20"/>
      <c r="L256" s="20">
        <v>3</v>
      </c>
      <c r="M256" s="20">
        <v>1</v>
      </c>
      <c r="N256" s="20">
        <v>2</v>
      </c>
      <c r="O256" s="20">
        <v>0</v>
      </c>
      <c r="P256" s="20">
        <v>2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x14ac:dyDescent="0.2">
      <c r="A257" s="20">
        <v>222</v>
      </c>
      <c r="B257" s="20">
        <v>2</v>
      </c>
      <c r="C257" s="20">
        <v>1</v>
      </c>
      <c r="D257" s="20">
        <v>1.5</v>
      </c>
      <c r="E257" s="20">
        <v>0</v>
      </c>
      <c r="F257" s="20">
        <v>1.5</v>
      </c>
      <c r="G257" s="20"/>
      <c r="H257" s="20"/>
      <c r="I257" s="20"/>
      <c r="J257" s="20"/>
      <c r="K257" s="20"/>
      <c r="L257" s="20">
        <v>3</v>
      </c>
      <c r="M257" s="20">
        <v>1</v>
      </c>
      <c r="N257" s="20">
        <v>0</v>
      </c>
      <c r="O257" s="20">
        <v>1</v>
      </c>
      <c r="P257" s="20">
        <v>0.5</v>
      </c>
      <c r="Q257" s="20">
        <v>0</v>
      </c>
      <c r="R257" s="20">
        <v>0</v>
      </c>
      <c r="S257" s="20">
        <v>0.5</v>
      </c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x14ac:dyDescent="0.2">
      <c r="A258" s="20">
        <v>223</v>
      </c>
      <c r="B258" s="20">
        <v>2</v>
      </c>
      <c r="C258" s="20">
        <v>1</v>
      </c>
      <c r="D258" s="20">
        <v>0</v>
      </c>
      <c r="E258" s="20">
        <v>1.5</v>
      </c>
      <c r="F258" s="20">
        <v>1</v>
      </c>
      <c r="G258" s="20">
        <v>0</v>
      </c>
      <c r="H258" s="20">
        <v>0</v>
      </c>
      <c r="I258" s="20">
        <v>0.5</v>
      </c>
      <c r="J258" s="20"/>
      <c r="K258" s="20"/>
      <c r="L258" s="20">
        <v>3</v>
      </c>
      <c r="M258" s="20">
        <v>1</v>
      </c>
      <c r="N258" s="20">
        <v>1.5</v>
      </c>
      <c r="O258" s="20">
        <v>0</v>
      </c>
      <c r="P258" s="20">
        <v>1.5</v>
      </c>
      <c r="Q258" s="20">
        <v>0</v>
      </c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x14ac:dyDescent="0.2">
      <c r="A259" s="20">
        <v>224</v>
      </c>
      <c r="B259" s="20">
        <v>2</v>
      </c>
      <c r="C259" s="20">
        <v>1</v>
      </c>
      <c r="D259" s="20">
        <v>0</v>
      </c>
      <c r="E259" s="20">
        <v>2.5</v>
      </c>
      <c r="F259" s="20">
        <v>1</v>
      </c>
      <c r="G259" s="20">
        <v>0.5</v>
      </c>
      <c r="H259" s="20">
        <v>0</v>
      </c>
      <c r="I259" s="20">
        <v>0</v>
      </c>
      <c r="J259" s="20">
        <v>0</v>
      </c>
      <c r="K259" s="20">
        <v>1</v>
      </c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x14ac:dyDescent="0.2">
      <c r="A260" s="20">
        <v>225</v>
      </c>
      <c r="B260" s="20">
        <v>2</v>
      </c>
      <c r="C260" s="20">
        <v>1</v>
      </c>
      <c r="D260" s="20">
        <v>0</v>
      </c>
      <c r="E260" s="20">
        <v>3</v>
      </c>
      <c r="F260" s="20">
        <v>3</v>
      </c>
      <c r="G260" s="20"/>
      <c r="H260" s="20"/>
      <c r="I260" s="20"/>
      <c r="J260" s="20"/>
      <c r="K260" s="20"/>
      <c r="L260" s="20">
        <v>3</v>
      </c>
      <c r="M260" s="20">
        <v>1</v>
      </c>
      <c r="N260" s="20">
        <v>0</v>
      </c>
      <c r="O260" s="20">
        <v>1</v>
      </c>
      <c r="P260" s="20">
        <v>1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x14ac:dyDescent="0.2">
      <c r="A261" s="20">
        <v>308</v>
      </c>
      <c r="B261" s="20">
        <v>2</v>
      </c>
      <c r="C261" s="20">
        <v>1</v>
      </c>
      <c r="D261" s="20">
        <v>0.5</v>
      </c>
      <c r="E261" s="20">
        <v>2.5</v>
      </c>
      <c r="F261" s="20">
        <v>3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x14ac:dyDescent="0.2">
      <c r="A262" s="20">
        <v>309</v>
      </c>
      <c r="B262" s="20">
        <v>2</v>
      </c>
      <c r="C262" s="20">
        <v>1</v>
      </c>
      <c r="D262" s="20">
        <v>0.5</v>
      </c>
      <c r="E262" s="20">
        <v>1</v>
      </c>
      <c r="F262" s="20">
        <v>1.5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x14ac:dyDescent="0.2">
      <c r="A263" s="20">
        <v>310</v>
      </c>
      <c r="B263" s="20">
        <v>2</v>
      </c>
      <c r="C263" s="20">
        <v>1</v>
      </c>
      <c r="D263" s="20">
        <v>1.5</v>
      </c>
      <c r="E263" s="20">
        <v>0.5</v>
      </c>
      <c r="F263" s="20">
        <v>2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x14ac:dyDescent="0.2">
      <c r="A264" s="20">
        <v>311</v>
      </c>
      <c r="B264" s="20">
        <v>2</v>
      </c>
      <c r="C264" s="20">
        <v>1</v>
      </c>
      <c r="D264" s="20">
        <v>1.5</v>
      </c>
      <c r="E264" s="20">
        <v>1.5</v>
      </c>
      <c r="F264" s="20">
        <v>1.5</v>
      </c>
      <c r="G264" s="20">
        <v>1.5</v>
      </c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x14ac:dyDescent="0.2">
      <c r="A265" s="21">
        <v>312</v>
      </c>
      <c r="B265" s="21">
        <v>2</v>
      </c>
      <c r="C265" s="21">
        <v>1</v>
      </c>
      <c r="D265" s="21">
        <v>1</v>
      </c>
      <c r="E265" s="21">
        <v>2</v>
      </c>
      <c r="F265" s="21">
        <v>3</v>
      </c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</row>
    <row r="267" spans="1:31" x14ac:dyDescent="0.2">
      <c r="A267" s="22">
        <v>194</v>
      </c>
      <c r="B267" s="22">
        <v>2</v>
      </c>
      <c r="C267" s="22">
        <v>1</v>
      </c>
      <c r="D267" s="22">
        <v>1</v>
      </c>
      <c r="E267" s="22">
        <v>2</v>
      </c>
      <c r="F267" s="22">
        <v>3</v>
      </c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 x14ac:dyDescent="0.2">
      <c r="A268" s="20">
        <v>195</v>
      </c>
      <c r="B268" s="20">
        <v>2</v>
      </c>
      <c r="C268" s="20">
        <v>2</v>
      </c>
      <c r="D268" s="20">
        <v>1.25</v>
      </c>
      <c r="E268" s="20">
        <v>0.25</v>
      </c>
      <c r="F268" s="20">
        <v>1.25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x14ac:dyDescent="0.2">
      <c r="A269" s="20">
        <v>181</v>
      </c>
      <c r="B269" s="20">
        <v>1</v>
      </c>
      <c r="C269" s="20">
        <v>1</v>
      </c>
      <c r="D269" s="20">
        <v>0.75</v>
      </c>
      <c r="E269" s="20">
        <v>4.25</v>
      </c>
      <c r="F269" s="20">
        <v>1.5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x14ac:dyDescent="0.2">
      <c r="A270" s="20">
        <v>183</v>
      </c>
      <c r="B270" s="20">
        <v>2</v>
      </c>
      <c r="C270" s="20">
        <v>1</v>
      </c>
      <c r="D270" s="20">
        <v>1</v>
      </c>
      <c r="E270" s="20">
        <v>1</v>
      </c>
      <c r="F270" s="20">
        <v>2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x14ac:dyDescent="0.2">
      <c r="A271" s="20">
        <v>180</v>
      </c>
      <c r="B271" s="20">
        <v>2</v>
      </c>
      <c r="C271" s="20">
        <v>1</v>
      </c>
      <c r="D271" s="20">
        <v>1</v>
      </c>
      <c r="E271" s="20">
        <v>2</v>
      </c>
      <c r="F271" s="20">
        <v>3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x14ac:dyDescent="0.2">
      <c r="A272" s="20">
        <v>178</v>
      </c>
      <c r="B272" s="20">
        <v>2</v>
      </c>
      <c r="C272" s="20">
        <v>1</v>
      </c>
      <c r="D272" s="20">
        <v>3</v>
      </c>
      <c r="E272" s="20">
        <v>0</v>
      </c>
      <c r="F272" s="20">
        <v>3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x14ac:dyDescent="0.2">
      <c r="A273" s="20">
        <v>179</v>
      </c>
      <c r="B273" s="20">
        <v>2</v>
      </c>
      <c r="C273" s="20">
        <v>1</v>
      </c>
      <c r="D273" s="20">
        <v>3</v>
      </c>
      <c r="E273" s="20">
        <v>0</v>
      </c>
      <c r="F273" s="20">
        <v>3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x14ac:dyDescent="0.2">
      <c r="A274" s="20">
        <v>182</v>
      </c>
      <c r="B274" s="20">
        <v>2</v>
      </c>
      <c r="C274" s="20">
        <v>1</v>
      </c>
      <c r="D274" s="20">
        <v>1</v>
      </c>
      <c r="E274" s="20">
        <v>0.5</v>
      </c>
      <c r="F274" s="20">
        <v>1.5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x14ac:dyDescent="0.2">
      <c r="A275" s="20">
        <v>79</v>
      </c>
      <c r="B275" s="20">
        <v>2</v>
      </c>
      <c r="C275" s="20">
        <v>1</v>
      </c>
      <c r="D275" s="20">
        <v>0.25</v>
      </c>
      <c r="E275" s="20">
        <v>2.75</v>
      </c>
      <c r="F275" s="20">
        <v>3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x14ac:dyDescent="0.2">
      <c r="A276" s="20">
        <v>80</v>
      </c>
      <c r="B276" s="20">
        <v>2</v>
      </c>
      <c r="C276" s="20">
        <v>1</v>
      </c>
      <c r="D276" s="20">
        <v>3</v>
      </c>
      <c r="E276" s="20">
        <v>0</v>
      </c>
      <c r="F276" s="20">
        <v>3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x14ac:dyDescent="0.2">
      <c r="A277" s="20">
        <v>77</v>
      </c>
      <c r="B277" s="20">
        <v>2</v>
      </c>
      <c r="C277" s="20">
        <v>1</v>
      </c>
      <c r="D277" s="20">
        <v>1.5</v>
      </c>
      <c r="E277" s="20">
        <v>1.5</v>
      </c>
      <c r="F277" s="20">
        <v>3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x14ac:dyDescent="0.2">
      <c r="A278" s="20">
        <v>78</v>
      </c>
      <c r="B278" s="20">
        <v>2</v>
      </c>
      <c r="C278" s="20">
        <v>1</v>
      </c>
      <c r="D278" s="20">
        <v>0</v>
      </c>
      <c r="E278" s="20">
        <v>3</v>
      </c>
      <c r="F278" s="20">
        <v>3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x14ac:dyDescent="0.2">
      <c r="A279" s="20">
        <v>76</v>
      </c>
      <c r="B279" s="20">
        <v>2</v>
      </c>
      <c r="C279" s="20">
        <v>1</v>
      </c>
      <c r="D279" s="20">
        <v>1.25</v>
      </c>
      <c r="E279" s="20">
        <v>1.75</v>
      </c>
      <c r="F279" s="20">
        <v>3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x14ac:dyDescent="0.2">
      <c r="A280" s="20">
        <v>94</v>
      </c>
      <c r="B280" s="20">
        <v>2</v>
      </c>
      <c r="C280" s="20">
        <v>1</v>
      </c>
      <c r="D280" s="20">
        <v>1.5</v>
      </c>
      <c r="E280" s="20">
        <v>1.5</v>
      </c>
      <c r="F280" s="20">
        <v>3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x14ac:dyDescent="0.2">
      <c r="A281" s="21">
        <v>93</v>
      </c>
      <c r="B281" s="21">
        <v>2</v>
      </c>
      <c r="C281" s="21">
        <v>1</v>
      </c>
      <c r="D281" s="21">
        <v>0.5</v>
      </c>
      <c r="E281" s="21">
        <v>2.5</v>
      </c>
      <c r="F281" s="21">
        <v>1</v>
      </c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</row>
  </sheetData>
  <mergeCells count="16">
    <mergeCell ref="W2:W3"/>
    <mergeCell ref="A1:A3"/>
    <mergeCell ref="B2:B3"/>
    <mergeCell ref="C2:C3"/>
    <mergeCell ref="L2:L3"/>
    <mergeCell ref="M2:M3"/>
    <mergeCell ref="B1:K1"/>
    <mergeCell ref="L1:U1"/>
    <mergeCell ref="V1:AE1"/>
    <mergeCell ref="D2:E2"/>
    <mergeCell ref="F2:K2"/>
    <mergeCell ref="N2:O2"/>
    <mergeCell ref="P2:U2"/>
    <mergeCell ref="X2:Y2"/>
    <mergeCell ref="Z2:AE2"/>
    <mergeCell ref="V2:V3"/>
  </mergeCells>
  <pageMargins left="0.25" right="0.25" top="0.75" bottom="0.75" header="0.3" footer="0.3"/>
  <pageSetup paperSize="9" orientation="landscape" r:id="rId1"/>
  <headerFooter>
    <oddHeader>&amp;C&amp;"Century,Regular"&amp;10Annexure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80"/>
  <sheetViews>
    <sheetView view="pageLayout" topLeftCell="A3" zoomScaleNormal="106" workbookViewId="0">
      <selection activeCell="M3" sqref="M1:M1048576"/>
    </sheetView>
  </sheetViews>
  <sheetFormatPr defaultRowHeight="11.25" x14ac:dyDescent="0.2"/>
  <cols>
    <col min="1" max="1" width="7.7109375" style="50" customWidth="1"/>
    <col min="2" max="2" width="5.28515625" style="50" customWidth="1"/>
    <col min="3" max="3" width="5.85546875" style="50" customWidth="1"/>
    <col min="4" max="4" width="5.28515625" style="50" bestFit="1" customWidth="1"/>
    <col min="5" max="5" width="5.42578125" style="50" customWidth="1"/>
    <col min="6" max="6" width="5.28515625" style="50" customWidth="1"/>
    <col min="7" max="7" width="5.28515625" style="50" bestFit="1" customWidth="1"/>
    <col min="8" max="8" width="6.140625" style="50" customWidth="1"/>
    <col min="9" max="9" width="5.28515625" style="50" customWidth="1"/>
    <col min="10" max="10" width="5.42578125" style="50" customWidth="1"/>
    <col min="11" max="11" width="4" style="50" bestFit="1" customWidth="1"/>
    <col min="12" max="12" width="4.85546875" style="50" customWidth="1"/>
    <col min="13" max="13" width="6.28515625" style="50" customWidth="1"/>
    <col min="14" max="14" width="4.5703125" style="50" customWidth="1"/>
    <col min="15" max="15" width="5.42578125" style="50" customWidth="1"/>
    <col min="16" max="16" width="5.42578125" style="50" bestFit="1" customWidth="1"/>
    <col min="17" max="18" width="5" style="50" customWidth="1"/>
    <col min="19" max="20" width="4.7109375" style="50" customWidth="1"/>
    <col min="21" max="21" width="5" style="50" customWidth="1"/>
    <col min="22" max="22" width="5.5703125" style="50" bestFit="1" customWidth="1"/>
    <col min="23" max="23" width="4.7109375" style="50" customWidth="1"/>
    <col min="24" max="24" width="4.5703125" style="50" customWidth="1"/>
    <col min="25" max="25" width="6.28515625" style="50" bestFit="1" customWidth="1"/>
    <col min="26" max="26" width="4.85546875" style="50" customWidth="1"/>
    <col min="27" max="27" width="5.85546875" style="50" customWidth="1"/>
    <col min="28" max="28" width="3.7109375" style="50" customWidth="1"/>
    <col min="29" max="29" width="4.7109375" style="50" customWidth="1"/>
    <col min="30" max="30" width="5" style="50" customWidth="1"/>
    <col min="31" max="31" width="4.7109375" style="50" customWidth="1"/>
    <col min="32" max="32" width="4" style="50" customWidth="1"/>
    <col min="33" max="33" width="5.140625" style="50" customWidth="1"/>
    <col min="34" max="34" width="5.5703125" style="50" bestFit="1" customWidth="1"/>
    <col min="35" max="35" width="5.5703125" style="50" customWidth="1"/>
    <col min="36" max="36" width="5.85546875" style="50" customWidth="1"/>
    <col min="37" max="37" width="6.140625" style="50" bestFit="1" customWidth="1"/>
    <col min="38" max="38" width="5.140625" style="50" customWidth="1"/>
    <col min="39" max="39" width="5.28515625" style="50" customWidth="1"/>
    <col min="40" max="40" width="4" style="50" customWidth="1"/>
    <col min="41" max="41" width="5.28515625" style="50" customWidth="1"/>
    <col min="42" max="42" width="4.85546875" style="50" customWidth="1"/>
    <col min="43" max="43" width="5" style="50" customWidth="1"/>
    <col min="44" max="44" width="4.85546875" style="50" customWidth="1"/>
    <col min="45" max="45" width="5" style="50" customWidth="1"/>
    <col min="46" max="46" width="5.5703125" style="50" bestFit="1" customWidth="1"/>
    <col min="47" max="47" width="5.42578125" style="50" bestFit="1" customWidth="1"/>
    <col min="48" max="48" width="5.42578125" style="50" customWidth="1"/>
    <col min="49" max="49" width="6" style="50" customWidth="1"/>
    <col min="50" max="50" width="5.42578125" style="50" customWidth="1"/>
    <col min="51" max="51" width="4.140625" style="50" customWidth="1"/>
    <col min="52" max="52" width="4.85546875" style="50" customWidth="1"/>
    <col min="53" max="53" width="5.5703125" style="50" customWidth="1"/>
    <col min="54" max="54" width="5.42578125" style="50" bestFit="1" customWidth="1"/>
    <col min="55" max="55" width="6" style="50" bestFit="1" customWidth="1"/>
    <col min="56" max="56" width="4.85546875" style="50" customWidth="1"/>
    <col min="57" max="57" width="5.28515625" style="50" bestFit="1" customWidth="1"/>
    <col min="58" max="58" width="5.5703125" style="50" bestFit="1" customWidth="1"/>
    <col min="59" max="59" width="4.7109375" style="50" customWidth="1"/>
    <col min="60" max="60" width="5" style="50" customWidth="1"/>
    <col min="61" max="61" width="6.28515625" style="50" bestFit="1" customWidth="1"/>
    <col min="62" max="62" width="5" style="50" customWidth="1"/>
    <col min="63" max="63" width="6.28515625" style="50" bestFit="1" customWidth="1"/>
    <col min="64" max="64" width="5.42578125" style="50" bestFit="1" customWidth="1"/>
    <col min="65" max="65" width="5.140625" style="50" customWidth="1"/>
    <col min="66" max="66" width="5.28515625" style="50" customWidth="1"/>
    <col min="67" max="67" width="5.5703125" style="50" customWidth="1"/>
    <col min="68" max="68" width="5.42578125" style="50" bestFit="1" customWidth="1"/>
    <col min="69" max="69" width="6" style="50" bestFit="1" customWidth="1"/>
    <col min="70" max="70" width="5.5703125" style="50" bestFit="1" customWidth="1"/>
    <col min="71" max="71" width="4.140625" style="50" customWidth="1"/>
    <col min="72" max="72" width="5" style="50" customWidth="1"/>
    <col min="73" max="73" width="5.28515625" style="50" bestFit="1" customWidth="1"/>
    <col min="74" max="87" width="9.140625" style="53"/>
    <col min="88" max="88" width="8.85546875" style="53" customWidth="1"/>
    <col min="89" max="89" width="9.140625" style="53"/>
    <col min="90" max="16384" width="9.140625" style="50"/>
  </cols>
  <sheetData>
    <row r="1" spans="1:89" ht="12.75" customHeight="1" x14ac:dyDescent="0.2">
      <c r="A1" s="83" t="s">
        <v>3</v>
      </c>
      <c r="B1" s="79" t="s">
        <v>25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 t="s">
        <v>26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 t="s">
        <v>27</v>
      </c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 t="s">
        <v>28</v>
      </c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 t="s">
        <v>29</v>
      </c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 t="s">
        <v>30</v>
      </c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</row>
    <row r="2" spans="1:89" s="51" customFormat="1" ht="72" customHeight="1" x14ac:dyDescent="0.2">
      <c r="A2" s="83"/>
      <c r="B2" s="83" t="s">
        <v>261</v>
      </c>
      <c r="C2" s="83"/>
      <c r="D2" s="83" t="s">
        <v>35</v>
      </c>
      <c r="E2" s="83"/>
      <c r="F2" s="84" t="s">
        <v>36</v>
      </c>
      <c r="G2" s="84"/>
      <c r="H2" s="83" t="s">
        <v>37</v>
      </c>
      <c r="I2" s="83"/>
      <c r="J2" s="81" t="s">
        <v>38</v>
      </c>
      <c r="K2" s="83" t="s">
        <v>31</v>
      </c>
      <c r="L2" s="83"/>
      <c r="M2" s="83"/>
      <c r="N2" s="83" t="s">
        <v>34</v>
      </c>
      <c r="O2" s="83"/>
      <c r="P2" s="83" t="s">
        <v>35</v>
      </c>
      <c r="Q2" s="83"/>
      <c r="R2" s="83" t="s">
        <v>36</v>
      </c>
      <c r="S2" s="83"/>
      <c r="T2" s="83" t="s">
        <v>37</v>
      </c>
      <c r="U2" s="83"/>
      <c r="V2" s="81" t="s">
        <v>38</v>
      </c>
      <c r="W2" s="83" t="s">
        <v>31</v>
      </c>
      <c r="X2" s="83"/>
      <c r="Y2" s="83"/>
      <c r="Z2" s="83" t="s">
        <v>34</v>
      </c>
      <c r="AA2" s="83"/>
      <c r="AB2" s="84" t="s">
        <v>262</v>
      </c>
      <c r="AC2" s="84"/>
      <c r="AD2" s="80" t="s">
        <v>36</v>
      </c>
      <c r="AE2" s="80"/>
      <c r="AF2" s="80" t="s">
        <v>37</v>
      </c>
      <c r="AG2" s="80"/>
      <c r="AH2" s="81" t="s">
        <v>38</v>
      </c>
      <c r="AI2" s="80" t="s">
        <v>31</v>
      </c>
      <c r="AJ2" s="80"/>
      <c r="AK2" s="80"/>
      <c r="AL2" s="83" t="s">
        <v>261</v>
      </c>
      <c r="AM2" s="83"/>
      <c r="AN2" s="84" t="s">
        <v>35</v>
      </c>
      <c r="AO2" s="84"/>
      <c r="AP2" s="80" t="s">
        <v>36</v>
      </c>
      <c r="AQ2" s="80"/>
      <c r="AR2" s="83" t="s">
        <v>37</v>
      </c>
      <c r="AS2" s="83"/>
      <c r="AT2" s="81" t="s">
        <v>38</v>
      </c>
      <c r="AU2" s="80" t="s">
        <v>31</v>
      </c>
      <c r="AV2" s="80"/>
      <c r="AW2" s="80"/>
      <c r="AX2" s="83" t="s">
        <v>34</v>
      </c>
      <c r="AY2" s="83"/>
      <c r="AZ2" s="83" t="s">
        <v>35</v>
      </c>
      <c r="BA2" s="83"/>
      <c r="BB2" s="83" t="s">
        <v>36</v>
      </c>
      <c r="BC2" s="83"/>
      <c r="BD2" s="83" t="s">
        <v>37</v>
      </c>
      <c r="BE2" s="83"/>
      <c r="BF2" s="81" t="s">
        <v>38</v>
      </c>
      <c r="BG2" s="83" t="s">
        <v>31</v>
      </c>
      <c r="BH2" s="83"/>
      <c r="BI2" s="83"/>
      <c r="BJ2" s="83" t="s">
        <v>34</v>
      </c>
      <c r="BK2" s="83"/>
      <c r="BL2" s="83" t="s">
        <v>35</v>
      </c>
      <c r="BM2" s="83"/>
      <c r="BN2" s="83" t="s">
        <v>36</v>
      </c>
      <c r="BO2" s="83"/>
      <c r="BP2" s="83" t="s">
        <v>37</v>
      </c>
      <c r="BQ2" s="83"/>
      <c r="BR2" s="85" t="s">
        <v>38</v>
      </c>
      <c r="BS2" s="86" t="s">
        <v>31</v>
      </c>
      <c r="BT2" s="86"/>
      <c r="BU2" s="86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</row>
    <row r="3" spans="1:89" ht="78.75" customHeight="1" x14ac:dyDescent="0.2">
      <c r="A3" s="83"/>
      <c r="B3" s="24" t="s">
        <v>32</v>
      </c>
      <c r="C3" s="24" t="s">
        <v>33</v>
      </c>
      <c r="D3" s="24" t="s">
        <v>32</v>
      </c>
      <c r="E3" s="24" t="s">
        <v>33</v>
      </c>
      <c r="F3" s="24" t="s">
        <v>32</v>
      </c>
      <c r="G3" s="24" t="s">
        <v>33</v>
      </c>
      <c r="H3" s="24" t="s">
        <v>32</v>
      </c>
      <c r="I3" s="24" t="s">
        <v>33</v>
      </c>
      <c r="J3" s="82"/>
      <c r="K3" s="24" t="s">
        <v>39</v>
      </c>
      <c r="L3" s="24" t="s">
        <v>40</v>
      </c>
      <c r="M3" s="25" t="s">
        <v>41</v>
      </c>
      <c r="N3" s="24" t="s">
        <v>32</v>
      </c>
      <c r="O3" s="24" t="s">
        <v>33</v>
      </c>
      <c r="P3" s="24" t="s">
        <v>32</v>
      </c>
      <c r="Q3" s="24" t="s">
        <v>33</v>
      </c>
      <c r="R3" s="24" t="s">
        <v>32</v>
      </c>
      <c r="S3" s="24" t="s">
        <v>33</v>
      </c>
      <c r="T3" s="24" t="s">
        <v>32</v>
      </c>
      <c r="U3" s="24" t="s">
        <v>33</v>
      </c>
      <c r="V3" s="82"/>
      <c r="W3" s="24" t="s">
        <v>39</v>
      </c>
      <c r="X3" s="24" t="s">
        <v>40</v>
      </c>
      <c r="Y3" s="25" t="s">
        <v>41</v>
      </c>
      <c r="Z3" s="24" t="s">
        <v>32</v>
      </c>
      <c r="AA3" s="24" t="s">
        <v>33</v>
      </c>
      <c r="AB3" s="24" t="s">
        <v>32</v>
      </c>
      <c r="AC3" s="24" t="s">
        <v>33</v>
      </c>
      <c r="AD3" s="24" t="s">
        <v>32</v>
      </c>
      <c r="AE3" s="24" t="s">
        <v>33</v>
      </c>
      <c r="AF3" s="26" t="s">
        <v>32</v>
      </c>
      <c r="AG3" s="26" t="s">
        <v>33</v>
      </c>
      <c r="AH3" s="82"/>
      <c r="AI3" s="24" t="s">
        <v>39</v>
      </c>
      <c r="AJ3" s="24" t="s">
        <v>40</v>
      </c>
      <c r="AK3" s="25" t="s">
        <v>41</v>
      </c>
      <c r="AL3" s="24" t="s">
        <v>32</v>
      </c>
      <c r="AM3" s="24" t="s">
        <v>33</v>
      </c>
      <c r="AN3" s="24" t="s">
        <v>32</v>
      </c>
      <c r="AO3" s="24" t="s">
        <v>33</v>
      </c>
      <c r="AP3" s="24" t="s">
        <v>32</v>
      </c>
      <c r="AQ3" s="24" t="s">
        <v>33</v>
      </c>
      <c r="AR3" s="24" t="s">
        <v>32</v>
      </c>
      <c r="AS3" s="24" t="s">
        <v>33</v>
      </c>
      <c r="AT3" s="82"/>
      <c r="AU3" s="24" t="s">
        <v>39</v>
      </c>
      <c r="AV3" s="24" t="s">
        <v>40</v>
      </c>
      <c r="AW3" s="25" t="s">
        <v>41</v>
      </c>
      <c r="AX3" s="24" t="s">
        <v>32</v>
      </c>
      <c r="AY3" s="24" t="s">
        <v>33</v>
      </c>
      <c r="AZ3" s="24" t="s">
        <v>32</v>
      </c>
      <c r="BA3" s="24" t="s">
        <v>33</v>
      </c>
      <c r="BB3" s="24" t="s">
        <v>32</v>
      </c>
      <c r="BC3" s="24" t="s">
        <v>33</v>
      </c>
      <c r="BD3" s="24" t="s">
        <v>32</v>
      </c>
      <c r="BE3" s="24" t="s">
        <v>33</v>
      </c>
      <c r="BF3" s="82"/>
      <c r="BG3" s="24" t="s">
        <v>39</v>
      </c>
      <c r="BH3" s="24" t="s">
        <v>40</v>
      </c>
      <c r="BI3" s="25" t="s">
        <v>41</v>
      </c>
      <c r="BJ3" s="33" t="s">
        <v>32</v>
      </c>
      <c r="BK3" s="33" t="s">
        <v>33</v>
      </c>
      <c r="BL3" s="33" t="s">
        <v>32</v>
      </c>
      <c r="BM3" s="33" t="s">
        <v>33</v>
      </c>
      <c r="BN3" s="33" t="s">
        <v>32</v>
      </c>
      <c r="BO3" s="33" t="s">
        <v>33</v>
      </c>
      <c r="BP3" s="33" t="s">
        <v>32</v>
      </c>
      <c r="BQ3" s="33" t="s">
        <v>33</v>
      </c>
      <c r="BR3" s="85"/>
      <c r="BS3" s="33" t="s">
        <v>39</v>
      </c>
      <c r="BT3" s="33" t="s">
        <v>40</v>
      </c>
      <c r="BU3" s="33" t="s">
        <v>41</v>
      </c>
    </row>
    <row r="4" spans="1:89" x14ac:dyDescent="0.2">
      <c r="A4" s="27">
        <v>206</v>
      </c>
      <c r="B4" s="23">
        <v>7000</v>
      </c>
      <c r="C4" s="23">
        <v>0</v>
      </c>
      <c r="D4" s="23">
        <v>0</v>
      </c>
      <c r="E4" s="23">
        <v>10500</v>
      </c>
      <c r="F4" s="23">
        <f>2000+1250+2600</f>
        <v>5850</v>
      </c>
      <c r="G4" s="23">
        <v>0</v>
      </c>
      <c r="H4" s="23">
        <v>0</v>
      </c>
      <c r="I4" s="23">
        <v>15000</v>
      </c>
      <c r="J4" s="23">
        <v>0</v>
      </c>
      <c r="K4" s="23">
        <v>140</v>
      </c>
      <c r="L4" s="23">
        <v>40</v>
      </c>
      <c r="M4" s="23">
        <f>31*100*20.5</f>
        <v>63550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</row>
    <row r="5" spans="1:89" x14ac:dyDescent="0.2">
      <c r="A5" s="27">
        <v>207</v>
      </c>
      <c r="B5" s="23">
        <v>1500</v>
      </c>
      <c r="C5" s="23">
        <v>0</v>
      </c>
      <c r="D5" s="23">
        <v>0</v>
      </c>
      <c r="E5" s="23">
        <v>16000</v>
      </c>
      <c r="F5" s="23">
        <v>6000</v>
      </c>
      <c r="G5" s="23">
        <v>0</v>
      </c>
      <c r="H5" s="23">
        <v>0</v>
      </c>
      <c r="I5" s="23">
        <v>40000</v>
      </c>
      <c r="J5" s="23">
        <v>20</v>
      </c>
      <c r="K5" s="23">
        <v>80</v>
      </c>
      <c r="L5" s="23">
        <v>40</v>
      </c>
      <c r="M5" s="23">
        <f>31*20*20.5</f>
        <v>12710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</row>
    <row r="6" spans="1:89" x14ac:dyDescent="0.2">
      <c r="A6" s="27" t="s">
        <v>74</v>
      </c>
      <c r="B6" s="23">
        <v>7000</v>
      </c>
      <c r="C6" s="23">
        <v>0</v>
      </c>
      <c r="D6" s="23">
        <v>0</v>
      </c>
      <c r="E6" s="23">
        <v>37000</v>
      </c>
      <c r="F6" s="23">
        <f>(1.75*700)+(1.75*440)+2000+7500</f>
        <v>11495</v>
      </c>
      <c r="G6" s="23">
        <v>0</v>
      </c>
      <c r="H6" s="23">
        <v>0</v>
      </c>
      <c r="I6" s="23">
        <v>31000</v>
      </c>
      <c r="J6" s="23">
        <v>0</v>
      </c>
      <c r="K6" s="23">
        <v>125</v>
      </c>
      <c r="L6" s="23">
        <v>30</v>
      </c>
      <c r="M6" s="23">
        <f>27*2090</f>
        <v>56430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</row>
    <row r="7" spans="1:89" x14ac:dyDescent="0.2">
      <c r="A7" s="27">
        <v>303</v>
      </c>
      <c r="B7" s="23">
        <f>5*1750</f>
        <v>8750</v>
      </c>
      <c r="C7" s="23">
        <v>0</v>
      </c>
      <c r="D7" s="23">
        <v>0</v>
      </c>
      <c r="E7" s="23">
        <v>14000</v>
      </c>
      <c r="F7" s="23">
        <f>2850+1250</f>
        <v>4100</v>
      </c>
      <c r="G7" s="23">
        <v>0</v>
      </c>
      <c r="H7" s="23">
        <v>0</v>
      </c>
      <c r="I7" s="23">
        <v>25000</v>
      </c>
      <c r="J7" s="23">
        <v>0</v>
      </c>
      <c r="K7" s="23">
        <v>250</v>
      </c>
      <c r="L7" s="23">
        <v>30</v>
      </c>
      <c r="M7" s="23">
        <f>220*20.5*40</f>
        <v>180400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</row>
    <row r="8" spans="1:89" x14ac:dyDescent="0.2">
      <c r="A8" s="27">
        <v>304</v>
      </c>
      <c r="B8" s="23">
        <f>3.5*1700</f>
        <v>5950</v>
      </c>
      <c r="C8" s="23">
        <v>0</v>
      </c>
      <c r="D8" s="23">
        <v>0</v>
      </c>
      <c r="E8" s="23">
        <f>8000+17000</f>
        <v>25000</v>
      </c>
      <c r="F8" s="23">
        <f>700+440+5000+3000</f>
        <v>9140</v>
      </c>
      <c r="G8" s="23">
        <v>0</v>
      </c>
      <c r="H8" s="23">
        <v>0</v>
      </c>
      <c r="I8" s="23">
        <v>18000</v>
      </c>
      <c r="J8" s="23">
        <v>0</v>
      </c>
      <c r="K8" s="23">
        <v>100</v>
      </c>
      <c r="L8" s="23">
        <v>40</v>
      </c>
      <c r="M8" s="23">
        <f>32*60*20.5</f>
        <v>39360</v>
      </c>
      <c r="N8" s="23">
        <v>1200</v>
      </c>
      <c r="O8" s="23">
        <v>0</v>
      </c>
      <c r="P8" s="23">
        <v>0</v>
      </c>
      <c r="Q8" s="23">
        <f>2000+7000</f>
        <v>9000</v>
      </c>
      <c r="R8" s="23">
        <f>285+600</f>
        <v>885</v>
      </c>
      <c r="S8" s="23">
        <v>0</v>
      </c>
      <c r="T8" s="23">
        <v>0</v>
      </c>
      <c r="U8" s="23">
        <f>2000</f>
        <v>2000</v>
      </c>
      <c r="V8" s="23">
        <v>0</v>
      </c>
      <c r="W8" s="23">
        <f>5*20.5</f>
        <v>102.5</v>
      </c>
      <c r="X8" s="23">
        <v>0</v>
      </c>
      <c r="Y8" s="23">
        <f>102.5*90</f>
        <v>9225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</row>
    <row r="9" spans="1:89" x14ac:dyDescent="0.2">
      <c r="A9" s="27">
        <v>305</v>
      </c>
      <c r="B9" s="23">
        <v>4000</v>
      </c>
      <c r="C9" s="23">
        <v>0</v>
      </c>
      <c r="D9" s="23">
        <v>0</v>
      </c>
      <c r="E9" s="23">
        <f>18000+5000+3000</f>
        <v>26000</v>
      </c>
      <c r="F9" s="23">
        <f>2280+2500</f>
        <v>4780</v>
      </c>
      <c r="G9" s="23">
        <v>0</v>
      </c>
      <c r="H9" s="23">
        <v>0</v>
      </c>
      <c r="I9" s="23">
        <v>23500</v>
      </c>
      <c r="J9" s="23">
        <v>0</v>
      </c>
      <c r="K9" s="23">
        <v>160</v>
      </c>
      <c r="L9" s="23">
        <v>75</v>
      </c>
      <c r="M9" s="23">
        <f>31*1500</f>
        <v>46500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</row>
    <row r="10" spans="1:89" x14ac:dyDescent="0.2">
      <c r="A10" s="27">
        <v>258</v>
      </c>
      <c r="B10" s="23">
        <v>4000</v>
      </c>
      <c r="C10" s="23">
        <v>0</v>
      </c>
      <c r="D10" s="23">
        <v>0</v>
      </c>
      <c r="E10" s="23">
        <v>10000</v>
      </c>
      <c r="F10" s="23">
        <v>6000</v>
      </c>
      <c r="G10" s="23">
        <v>0</v>
      </c>
      <c r="H10" s="23">
        <v>0</v>
      </c>
      <c r="I10" s="23">
        <v>11000</v>
      </c>
      <c r="J10" s="23">
        <v>0</v>
      </c>
      <c r="K10" s="23">
        <v>70</v>
      </c>
      <c r="L10" s="23">
        <v>30</v>
      </c>
      <c r="M10" s="23">
        <v>30000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>
        <v>5000</v>
      </c>
      <c r="AA10" s="23">
        <v>0</v>
      </c>
      <c r="AB10" s="23">
        <v>0</v>
      </c>
      <c r="AC10" s="23">
        <v>0</v>
      </c>
      <c r="AD10" s="23">
        <v>10000</v>
      </c>
      <c r="AE10" s="23">
        <v>0</v>
      </c>
      <c r="AF10" s="23">
        <v>0</v>
      </c>
      <c r="AG10" s="23">
        <v>12000</v>
      </c>
      <c r="AH10" s="23">
        <v>0</v>
      </c>
      <c r="AI10" s="23">
        <v>1800</v>
      </c>
      <c r="AJ10" s="23">
        <v>0</v>
      </c>
      <c r="AK10" s="23">
        <f>28*1800</f>
        <v>50400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</row>
    <row r="11" spans="1:89" x14ac:dyDescent="0.2">
      <c r="A11" s="27">
        <v>259</v>
      </c>
      <c r="B11" s="23">
        <v>3600</v>
      </c>
      <c r="C11" s="23">
        <v>0</v>
      </c>
      <c r="D11" s="23">
        <v>0</v>
      </c>
      <c r="E11" s="23">
        <v>35000</v>
      </c>
      <c r="F11" s="23">
        <v>7000</v>
      </c>
      <c r="G11" s="23">
        <v>0</v>
      </c>
      <c r="H11" s="23">
        <v>0</v>
      </c>
      <c r="I11" s="23">
        <v>22000</v>
      </c>
      <c r="J11" s="23">
        <v>0</v>
      </c>
      <c r="K11" s="23">
        <v>150</v>
      </c>
      <c r="L11" s="23">
        <v>0</v>
      </c>
      <c r="M11" s="23">
        <f>30*3000</f>
        <v>90000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</row>
    <row r="12" spans="1:89" x14ac:dyDescent="0.2">
      <c r="A12" s="27">
        <v>26</v>
      </c>
      <c r="B12" s="23">
        <v>3200</v>
      </c>
      <c r="C12" s="23">
        <v>0</v>
      </c>
      <c r="D12" s="23">
        <v>0</v>
      </c>
      <c r="E12" s="23">
        <v>20000</v>
      </c>
      <c r="F12" s="23">
        <f>8170</f>
        <v>8170</v>
      </c>
      <c r="G12" s="23">
        <v>0</v>
      </c>
      <c r="H12" s="23">
        <v>0</v>
      </c>
      <c r="I12" s="23">
        <v>33700</v>
      </c>
      <c r="J12" s="23">
        <v>0</v>
      </c>
      <c r="K12" s="23">
        <v>150</v>
      </c>
      <c r="L12" s="23">
        <v>30</v>
      </c>
      <c r="M12" s="23">
        <f>30*2640</f>
        <v>79200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</row>
    <row r="13" spans="1:89" x14ac:dyDescent="0.2">
      <c r="A13" s="27">
        <v>29</v>
      </c>
      <c r="B13" s="23">
        <v>3000</v>
      </c>
      <c r="C13" s="23">
        <v>0</v>
      </c>
      <c r="D13" s="23">
        <v>0</v>
      </c>
      <c r="E13" s="23">
        <v>28000</v>
      </c>
      <c r="F13" s="23">
        <v>9000</v>
      </c>
      <c r="G13" s="23">
        <v>0</v>
      </c>
      <c r="H13" s="23">
        <v>0</v>
      </c>
      <c r="I13" s="23">
        <v>11500</v>
      </c>
      <c r="J13" s="23">
        <v>0</v>
      </c>
      <c r="K13" s="23">
        <v>60</v>
      </c>
      <c r="L13" s="23">
        <v>30</v>
      </c>
      <c r="M13" s="23">
        <f>32*660</f>
        <v>21120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</row>
    <row r="14" spans="1:89" x14ac:dyDescent="0.2">
      <c r="A14" s="27">
        <v>127</v>
      </c>
      <c r="B14" s="23">
        <v>5280</v>
      </c>
      <c r="C14" s="23">
        <v>0</v>
      </c>
      <c r="D14" s="23">
        <v>0</v>
      </c>
      <c r="E14" s="23">
        <v>15500</v>
      </c>
      <c r="F14" s="23">
        <f>2250+5000</f>
        <v>7250</v>
      </c>
      <c r="G14" s="23">
        <v>0</v>
      </c>
      <c r="H14" s="23">
        <v>0</v>
      </c>
      <c r="I14" s="23">
        <v>15700</v>
      </c>
      <c r="J14" s="23">
        <v>0</v>
      </c>
      <c r="K14" s="23">
        <v>120</v>
      </c>
      <c r="L14" s="23">
        <v>50</v>
      </c>
      <c r="M14" s="23">
        <f>34*1540</f>
        <v>52360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</row>
    <row r="15" spans="1:89" x14ac:dyDescent="0.2">
      <c r="A15" s="27">
        <v>128</v>
      </c>
      <c r="B15" s="23">
        <v>5280</v>
      </c>
      <c r="C15" s="23">
        <v>0</v>
      </c>
      <c r="D15" s="23">
        <v>0</v>
      </c>
      <c r="E15" s="23">
        <v>16000</v>
      </c>
      <c r="F15" s="23">
        <f>2250+5000</f>
        <v>7250</v>
      </c>
      <c r="G15" s="23">
        <v>0</v>
      </c>
      <c r="H15" s="23">
        <v>0</v>
      </c>
      <c r="I15" s="23">
        <v>29000</v>
      </c>
      <c r="J15" s="23">
        <v>0</v>
      </c>
      <c r="K15" s="23">
        <v>170</v>
      </c>
      <c r="L15" s="23">
        <v>65</v>
      </c>
      <c r="M15" s="23">
        <f>30*2310</f>
        <v>69300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</row>
    <row r="16" spans="1:89" x14ac:dyDescent="0.2">
      <c r="A16" s="27">
        <v>126</v>
      </c>
      <c r="B16" s="23">
        <v>2640</v>
      </c>
      <c r="C16" s="23">
        <v>0</v>
      </c>
      <c r="D16" s="23">
        <v>0</v>
      </c>
      <c r="E16" s="23">
        <f>10000+5000</f>
        <v>15000</v>
      </c>
      <c r="F16" s="23">
        <f>3200+3500</f>
        <v>6700</v>
      </c>
      <c r="G16" s="23">
        <v>0</v>
      </c>
      <c r="H16" s="23">
        <v>0</v>
      </c>
      <c r="I16" s="23">
        <v>16500</v>
      </c>
      <c r="J16" s="23">
        <v>0</v>
      </c>
      <c r="K16" s="23">
        <v>70</v>
      </c>
      <c r="L16" s="23">
        <v>40</v>
      </c>
      <c r="M16" s="23">
        <f>31*660</f>
        <v>20460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</row>
    <row r="17" spans="1:89" x14ac:dyDescent="0.2">
      <c r="A17" s="27">
        <v>129</v>
      </c>
      <c r="B17" s="23">
        <v>0</v>
      </c>
      <c r="C17" s="23">
        <v>0</v>
      </c>
      <c r="D17" s="23">
        <v>0</v>
      </c>
      <c r="E17" s="23">
        <v>24000</v>
      </c>
      <c r="F17" s="23">
        <v>5100</v>
      </c>
      <c r="G17" s="23">
        <v>0</v>
      </c>
      <c r="H17" s="23">
        <v>0</v>
      </c>
      <c r="I17" s="23">
        <v>26000</v>
      </c>
      <c r="J17" s="23">
        <v>37.5</v>
      </c>
      <c r="K17" s="23">
        <v>130</v>
      </c>
      <c r="L17" s="23">
        <v>25</v>
      </c>
      <c r="M17" s="23">
        <f>33*1485</f>
        <v>49005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</row>
    <row r="18" spans="1:89" x14ac:dyDescent="0.2">
      <c r="A18" s="28">
        <v>25</v>
      </c>
      <c r="B18" s="29">
        <v>5200</v>
      </c>
      <c r="C18" s="29">
        <v>0</v>
      </c>
      <c r="D18" s="29">
        <v>0</v>
      </c>
      <c r="E18" s="29">
        <v>39000</v>
      </c>
      <c r="F18" s="29">
        <f>4700+8000</f>
        <v>12700</v>
      </c>
      <c r="G18" s="29">
        <v>0</v>
      </c>
      <c r="H18" s="29">
        <v>0</v>
      </c>
      <c r="I18" s="29">
        <v>40400</v>
      </c>
      <c r="J18" s="29">
        <v>0</v>
      </c>
      <c r="K18" s="29">
        <v>140</v>
      </c>
      <c r="L18" s="29">
        <v>30</v>
      </c>
      <c r="M18" s="29">
        <f>31*2420</f>
        <v>75020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</row>
    <row r="19" spans="1:89" s="53" customForma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</row>
    <row r="20" spans="1:89" x14ac:dyDescent="0.2">
      <c r="A20" s="30">
        <v>110</v>
      </c>
      <c r="B20" s="30">
        <v>4800</v>
      </c>
      <c r="C20" s="30">
        <v>0</v>
      </c>
      <c r="D20" s="30">
        <v>0</v>
      </c>
      <c r="E20" s="30">
        <f>15000+2000</f>
        <v>17000</v>
      </c>
      <c r="F20" s="30">
        <f>2500+800+3300</f>
        <v>6600</v>
      </c>
      <c r="G20" s="30">
        <v>0</v>
      </c>
      <c r="H20" s="30">
        <v>0</v>
      </c>
      <c r="I20" s="30">
        <v>10000</v>
      </c>
      <c r="J20" s="30">
        <v>0</v>
      </c>
      <c r="K20" s="30">
        <v>90</v>
      </c>
      <c r="L20" s="30">
        <v>40</v>
      </c>
      <c r="M20" s="30">
        <f>27*1000</f>
        <v>27000</v>
      </c>
      <c r="N20" s="30">
        <v>3900</v>
      </c>
      <c r="O20" s="30">
        <v>0</v>
      </c>
      <c r="P20" s="30">
        <v>0</v>
      </c>
      <c r="Q20" s="30">
        <v>28000</v>
      </c>
      <c r="R20" s="30">
        <f>2200+1800+2000</f>
        <v>6000</v>
      </c>
      <c r="S20" s="30">
        <v>0</v>
      </c>
      <c r="T20" s="30">
        <v>0</v>
      </c>
      <c r="U20" s="30">
        <f>15000+6300</f>
        <v>21300</v>
      </c>
      <c r="V20" s="30">
        <v>0</v>
      </c>
      <c r="W20" s="30">
        <v>1650</v>
      </c>
      <c r="X20" s="30">
        <v>0</v>
      </c>
      <c r="Y20" s="30">
        <f>95*1650</f>
        <v>156750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</row>
    <row r="21" spans="1:89" x14ac:dyDescent="0.2">
      <c r="A21" s="23">
        <v>111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>
        <v>3125</v>
      </c>
      <c r="O21" s="23">
        <v>0</v>
      </c>
      <c r="P21" s="23">
        <v>0</v>
      </c>
      <c r="Q21" s="23">
        <v>35000</v>
      </c>
      <c r="R21" s="23">
        <f>2400+1200</f>
        <v>3600</v>
      </c>
      <c r="S21" s="23">
        <v>0</v>
      </c>
      <c r="T21" s="23">
        <v>0</v>
      </c>
      <c r="U21" s="23">
        <v>12000</v>
      </c>
      <c r="V21" s="23">
        <v>0</v>
      </c>
      <c r="W21" s="23">
        <v>1178</v>
      </c>
      <c r="X21" s="23">
        <v>0</v>
      </c>
      <c r="Y21" s="23">
        <f>95*1178</f>
        <v>111910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</row>
    <row r="22" spans="1:89" x14ac:dyDescent="0.2">
      <c r="A22" s="23">
        <v>112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>
        <v>4500</v>
      </c>
      <c r="O22" s="23">
        <v>0</v>
      </c>
      <c r="P22" s="23">
        <v>0</v>
      </c>
      <c r="Q22" s="23">
        <f>10000+5000+20000</f>
        <v>35000</v>
      </c>
      <c r="R22" s="23">
        <f>1200+24000</f>
        <v>25200</v>
      </c>
      <c r="S22" s="23">
        <v>0</v>
      </c>
      <c r="T22" s="23">
        <v>0</v>
      </c>
      <c r="U22" s="23">
        <f>15000+6000</f>
        <v>21000</v>
      </c>
      <c r="V22" s="23">
        <v>0</v>
      </c>
      <c r="W22" s="23">
        <v>2350</v>
      </c>
      <c r="X22" s="23">
        <v>0</v>
      </c>
      <c r="Y22" s="23">
        <f>95*2350</f>
        <v>223250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</row>
    <row r="23" spans="1:89" x14ac:dyDescent="0.2">
      <c r="A23" s="23">
        <v>113</v>
      </c>
      <c r="B23" s="23">
        <v>12600</v>
      </c>
      <c r="C23" s="23">
        <v>0</v>
      </c>
      <c r="D23" s="23">
        <v>0</v>
      </c>
      <c r="E23" s="23">
        <f>12000+21000</f>
        <v>33000</v>
      </c>
      <c r="F23" s="23">
        <f>5800+12000</f>
        <v>17800</v>
      </c>
      <c r="G23" s="23">
        <v>2000</v>
      </c>
      <c r="H23" s="23">
        <v>0</v>
      </c>
      <c r="I23" s="23">
        <v>22500</v>
      </c>
      <c r="J23" s="23">
        <v>0</v>
      </c>
      <c r="K23" s="23">
        <v>125</v>
      </c>
      <c r="L23" s="23">
        <v>25</v>
      </c>
      <c r="M23" s="23">
        <f>33*2200</f>
        <v>72600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</row>
    <row r="24" spans="1:89" x14ac:dyDescent="0.2">
      <c r="A24" s="23">
        <v>114</v>
      </c>
      <c r="B24" s="23">
        <v>3375</v>
      </c>
      <c r="C24" s="23">
        <v>0</v>
      </c>
      <c r="D24" s="23">
        <v>0</v>
      </c>
      <c r="E24" s="23">
        <f>8000+16000</f>
        <v>24000</v>
      </c>
      <c r="F24" s="23">
        <f>1800+3000</f>
        <v>4800</v>
      </c>
      <c r="G24" s="23">
        <v>0</v>
      </c>
      <c r="H24" s="23">
        <v>0</v>
      </c>
      <c r="I24" s="23">
        <f>16000+3500</f>
        <v>19500</v>
      </c>
      <c r="J24" s="23">
        <v>0</v>
      </c>
      <c r="K24" s="23">
        <v>75</v>
      </c>
      <c r="L24" s="23">
        <v>45</v>
      </c>
      <c r="M24" s="23">
        <f>28*660</f>
        <v>18480</v>
      </c>
      <c r="N24" s="23">
        <v>3840</v>
      </c>
      <c r="O24" s="23">
        <v>0</v>
      </c>
      <c r="P24" s="23">
        <v>0</v>
      </c>
      <c r="Q24" s="23">
        <f>8000+25000</f>
        <v>33000</v>
      </c>
      <c r="R24" s="23">
        <f>2800+2000+1000</f>
        <v>5800</v>
      </c>
      <c r="S24" s="23">
        <v>0</v>
      </c>
      <c r="T24" s="23">
        <v>0</v>
      </c>
      <c r="U24" s="23">
        <f>15000+5000</f>
        <v>20000</v>
      </c>
      <c r="V24" s="23">
        <v>0</v>
      </c>
      <c r="W24" s="23">
        <v>1975</v>
      </c>
      <c r="X24" s="23">
        <v>0</v>
      </c>
      <c r="Y24" s="23">
        <f>90*1975</f>
        <v>177750</v>
      </c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</row>
    <row r="25" spans="1:89" x14ac:dyDescent="0.2">
      <c r="A25" s="23">
        <v>115</v>
      </c>
      <c r="B25" s="23">
        <v>0</v>
      </c>
      <c r="C25" s="23">
        <v>0</v>
      </c>
      <c r="D25" s="23">
        <v>0</v>
      </c>
      <c r="E25" s="23">
        <v>900</v>
      </c>
      <c r="F25" s="23">
        <v>250</v>
      </c>
      <c r="G25" s="23">
        <v>0</v>
      </c>
      <c r="H25" s="23">
        <v>0</v>
      </c>
      <c r="I25" s="23">
        <v>0</v>
      </c>
      <c r="J25" s="23">
        <v>0</v>
      </c>
      <c r="K25" s="23">
        <v>12</v>
      </c>
      <c r="L25" s="23">
        <v>12</v>
      </c>
      <c r="M25" s="23"/>
      <c r="N25" s="23">
        <v>2500</v>
      </c>
      <c r="O25" s="23">
        <v>0</v>
      </c>
      <c r="P25" s="23">
        <v>0</v>
      </c>
      <c r="Q25" s="23">
        <v>3500</v>
      </c>
      <c r="R25" s="23">
        <v>7500</v>
      </c>
      <c r="S25" s="23">
        <v>0</v>
      </c>
      <c r="T25" s="23">
        <v>0</v>
      </c>
      <c r="U25" s="23">
        <v>13800</v>
      </c>
      <c r="V25" s="23">
        <v>0</v>
      </c>
      <c r="W25" s="23">
        <v>890</v>
      </c>
      <c r="X25" s="23">
        <v>0</v>
      </c>
      <c r="Y25" s="23">
        <f>70*890</f>
        <v>62300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</row>
    <row r="26" spans="1:89" s="52" customFormat="1" x14ac:dyDescent="0.2">
      <c r="A26" s="23">
        <v>116</v>
      </c>
      <c r="B26" s="31">
        <v>0</v>
      </c>
      <c r="C26" s="31">
        <v>0</v>
      </c>
      <c r="D26" s="31">
        <v>0</v>
      </c>
      <c r="E26" s="31">
        <v>7500</v>
      </c>
      <c r="F26" s="31">
        <f>2900+6500</f>
        <v>9400</v>
      </c>
      <c r="G26" s="31">
        <v>0</v>
      </c>
      <c r="H26" s="31">
        <v>0</v>
      </c>
      <c r="I26" s="31">
        <v>5500</v>
      </c>
      <c r="J26" s="31">
        <v>0</v>
      </c>
      <c r="K26" s="31">
        <v>45</v>
      </c>
      <c r="L26" s="31">
        <v>45</v>
      </c>
      <c r="M26" s="31">
        <v>0</v>
      </c>
      <c r="N26" s="31">
        <v>1500</v>
      </c>
      <c r="O26" s="31">
        <v>0</v>
      </c>
      <c r="P26" s="31">
        <v>0</v>
      </c>
      <c r="Q26" s="31">
        <v>8500</v>
      </c>
      <c r="R26" s="31">
        <v>4200</v>
      </c>
      <c r="S26" s="31">
        <v>0</v>
      </c>
      <c r="T26" s="31">
        <v>0</v>
      </c>
      <c r="U26" s="31">
        <v>17100</v>
      </c>
      <c r="V26" s="31">
        <v>0</v>
      </c>
      <c r="W26" s="31">
        <v>540</v>
      </c>
      <c r="X26" s="31">
        <v>0</v>
      </c>
      <c r="Y26" s="31">
        <f>70*540</f>
        <v>37800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</row>
    <row r="27" spans="1:89" x14ac:dyDescent="0.2">
      <c r="A27" s="23">
        <v>117</v>
      </c>
      <c r="B27" s="23">
        <v>0</v>
      </c>
      <c r="C27" s="23">
        <v>0</v>
      </c>
      <c r="D27" s="23">
        <v>0</v>
      </c>
      <c r="E27" s="23">
        <v>23000</v>
      </c>
      <c r="F27" s="23">
        <f>8750+4000+11000</f>
        <v>23750</v>
      </c>
      <c r="G27" s="23">
        <v>0</v>
      </c>
      <c r="H27" s="23">
        <v>0</v>
      </c>
      <c r="I27" s="23">
        <v>34000</v>
      </c>
      <c r="J27" s="23">
        <v>0</v>
      </c>
      <c r="K27" s="23">
        <v>325</v>
      </c>
      <c r="L27" s="23">
        <v>65</v>
      </c>
      <c r="M27" s="23">
        <f>31*5720</f>
        <v>177320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</row>
    <row r="28" spans="1:89" x14ac:dyDescent="0.2">
      <c r="A28" s="23">
        <v>118</v>
      </c>
      <c r="B28" s="23">
        <v>0</v>
      </c>
      <c r="C28" s="23">
        <v>0</v>
      </c>
      <c r="D28" s="23">
        <v>0</v>
      </c>
      <c r="E28" s="23">
        <v>6500</v>
      </c>
      <c r="F28" s="23">
        <v>3250</v>
      </c>
      <c r="G28" s="23">
        <v>0</v>
      </c>
      <c r="H28" s="23">
        <v>0</v>
      </c>
      <c r="I28" s="23">
        <v>6000</v>
      </c>
      <c r="J28" s="23">
        <v>0</v>
      </c>
      <c r="K28" s="23">
        <v>65</v>
      </c>
      <c r="L28" s="23">
        <v>65</v>
      </c>
      <c r="M28" s="23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>
        <v>30000</v>
      </c>
      <c r="AM28" s="23">
        <v>0</v>
      </c>
      <c r="AN28" s="23">
        <v>0</v>
      </c>
      <c r="AO28" s="23">
        <v>35000</v>
      </c>
      <c r="AP28" s="23">
        <f>7500+10000</f>
        <v>17500</v>
      </c>
      <c r="AQ28" s="23">
        <v>0</v>
      </c>
      <c r="AR28" s="23">
        <v>0</v>
      </c>
      <c r="AS28" s="23">
        <v>30000</v>
      </c>
      <c r="AT28" s="23">
        <v>0</v>
      </c>
      <c r="AU28" s="23">
        <v>5000</v>
      </c>
      <c r="AV28" s="23">
        <v>0</v>
      </c>
      <c r="AW28" s="23">
        <f>70*5000</f>
        <v>350000</v>
      </c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</row>
    <row r="29" spans="1:89" x14ac:dyDescent="0.2">
      <c r="A29" s="23">
        <v>119</v>
      </c>
      <c r="B29" s="23">
        <v>1100</v>
      </c>
      <c r="C29" s="23">
        <v>0</v>
      </c>
      <c r="D29" s="23">
        <v>0</v>
      </c>
      <c r="E29" s="23">
        <v>3500</v>
      </c>
      <c r="F29" s="23">
        <v>2500</v>
      </c>
      <c r="G29" s="23">
        <v>0</v>
      </c>
      <c r="H29" s="23">
        <v>0</v>
      </c>
      <c r="I29" s="23">
        <v>7500</v>
      </c>
      <c r="J29" s="23">
        <v>0</v>
      </c>
      <c r="K29" s="23">
        <v>35</v>
      </c>
      <c r="L29" s="23">
        <v>35</v>
      </c>
      <c r="M29" s="23">
        <v>0</v>
      </c>
      <c r="N29" s="23">
        <v>3300</v>
      </c>
      <c r="O29" s="23">
        <v>0</v>
      </c>
      <c r="P29" s="23">
        <v>0</v>
      </c>
      <c r="Q29" s="23">
        <v>25000</v>
      </c>
      <c r="R29" s="23">
        <v>7500</v>
      </c>
      <c r="S29" s="23">
        <v>0</v>
      </c>
      <c r="T29" s="23">
        <v>0</v>
      </c>
      <c r="U29" s="23">
        <v>15500</v>
      </c>
      <c r="V29" s="23">
        <v>0</v>
      </c>
      <c r="W29" s="23">
        <v>1200</v>
      </c>
      <c r="X29" s="23">
        <v>0</v>
      </c>
      <c r="Y29" s="23">
        <f>90*1200</f>
        <v>108000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</row>
    <row r="30" spans="1:89" x14ac:dyDescent="0.2">
      <c r="A30" s="23">
        <v>120</v>
      </c>
      <c r="B30" s="23">
        <v>5200</v>
      </c>
      <c r="C30" s="23">
        <v>0</v>
      </c>
      <c r="D30" s="23">
        <v>0</v>
      </c>
      <c r="E30" s="23">
        <v>20000</v>
      </c>
      <c r="F30" s="23">
        <f>2250+5460</f>
        <v>7710</v>
      </c>
      <c r="G30" s="23">
        <v>0</v>
      </c>
      <c r="H30" s="23">
        <v>0</v>
      </c>
      <c r="I30" s="23">
        <v>19000</v>
      </c>
      <c r="J30" s="23">
        <v>0</v>
      </c>
      <c r="K30" s="23">
        <v>140</v>
      </c>
      <c r="L30" s="23">
        <v>15</v>
      </c>
      <c r="M30" s="23">
        <f>26*2750</f>
        <v>71500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</row>
    <row r="31" spans="1:89" x14ac:dyDescent="0.2">
      <c r="A31" s="23">
        <v>121</v>
      </c>
      <c r="B31" s="23">
        <v>13500</v>
      </c>
      <c r="C31" s="23">
        <v>0</v>
      </c>
      <c r="D31" s="23">
        <v>0</v>
      </c>
      <c r="E31" s="23">
        <v>32700</v>
      </c>
      <c r="F31" s="23">
        <v>8520</v>
      </c>
      <c r="G31" s="23">
        <v>0</v>
      </c>
      <c r="H31" s="23">
        <v>0</v>
      </c>
      <c r="I31" s="23">
        <v>36000</v>
      </c>
      <c r="J31" s="23">
        <v>0</v>
      </c>
      <c r="K31" s="23">
        <v>210</v>
      </c>
      <c r="L31" s="23">
        <v>60</v>
      </c>
      <c r="M31" s="23">
        <f>27*3300</f>
        <v>89100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</row>
    <row r="32" spans="1:89" s="52" customFormat="1" x14ac:dyDescent="0.2">
      <c r="A32" s="23">
        <v>122</v>
      </c>
      <c r="B32" s="31">
        <v>11880</v>
      </c>
      <c r="C32" s="31">
        <v>0</v>
      </c>
      <c r="D32" s="31">
        <v>0</v>
      </c>
      <c r="E32" s="31">
        <v>40000</v>
      </c>
      <c r="F32" s="31">
        <f>5800+4000+4500</f>
        <v>14300</v>
      </c>
      <c r="G32" s="31">
        <v>0</v>
      </c>
      <c r="H32" s="31">
        <v>0</v>
      </c>
      <c r="I32" s="31">
        <v>36000</v>
      </c>
      <c r="J32" s="31">
        <v>0</v>
      </c>
      <c r="K32" s="31">
        <v>200</v>
      </c>
      <c r="L32" s="31">
        <v>50</v>
      </c>
      <c r="M32" s="31">
        <f>27*3300</f>
        <v>89100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</row>
    <row r="33" spans="1:73" x14ac:dyDescent="0.2">
      <c r="A33" s="23">
        <v>123</v>
      </c>
      <c r="B33" s="23">
        <v>8500</v>
      </c>
      <c r="C33" s="23">
        <v>0</v>
      </c>
      <c r="D33" s="23">
        <v>0</v>
      </c>
      <c r="E33" s="23">
        <v>15000</v>
      </c>
      <c r="F33" s="23">
        <v>2400</v>
      </c>
      <c r="G33" s="23">
        <v>0</v>
      </c>
      <c r="H33" s="23">
        <v>0</v>
      </c>
      <c r="I33" s="23">
        <v>5250</v>
      </c>
      <c r="J33" s="23">
        <v>0</v>
      </c>
      <c r="K33" s="23">
        <v>170</v>
      </c>
      <c r="L33" s="23">
        <v>80</v>
      </c>
      <c r="M33" s="23">
        <f>28*1980</f>
        <v>55440</v>
      </c>
      <c r="N33" s="23">
        <v>1000</v>
      </c>
      <c r="O33" s="23">
        <v>0</v>
      </c>
      <c r="P33" s="23">
        <v>0</v>
      </c>
      <c r="Q33" s="23">
        <v>7500</v>
      </c>
      <c r="R33" s="23">
        <v>2400</v>
      </c>
      <c r="S33" s="23">
        <v>0</v>
      </c>
      <c r="T33" s="23">
        <v>0</v>
      </c>
      <c r="U33" s="23">
        <v>5250</v>
      </c>
      <c r="V33" s="23">
        <v>0</v>
      </c>
      <c r="W33" s="23">
        <v>600</v>
      </c>
      <c r="X33" s="23">
        <v>0</v>
      </c>
      <c r="Y33" s="23">
        <f>95*600</f>
        <v>57000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</row>
    <row r="34" spans="1:73" x14ac:dyDescent="0.2">
      <c r="A34" s="23">
        <v>124</v>
      </c>
      <c r="B34" s="23">
        <v>3500</v>
      </c>
      <c r="C34" s="23">
        <v>0</v>
      </c>
      <c r="D34" s="23">
        <v>0</v>
      </c>
      <c r="E34" s="23">
        <v>8000</v>
      </c>
      <c r="F34" s="23">
        <f>2050+1200</f>
        <v>3250</v>
      </c>
      <c r="G34" s="23">
        <v>300</v>
      </c>
      <c r="H34" s="23">
        <v>0</v>
      </c>
      <c r="I34" s="23">
        <v>11000</v>
      </c>
      <c r="J34" s="23">
        <v>0</v>
      </c>
      <c r="K34" s="23">
        <v>110</v>
      </c>
      <c r="L34" s="23">
        <v>20</v>
      </c>
      <c r="M34" s="23">
        <f>35*1980</f>
        <v>69300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</row>
    <row r="35" spans="1:73" x14ac:dyDescent="0.2">
      <c r="A35" s="23">
        <v>125</v>
      </c>
      <c r="B35" s="23">
        <v>6000</v>
      </c>
      <c r="C35" s="23">
        <v>0</v>
      </c>
      <c r="D35" s="23">
        <v>0</v>
      </c>
      <c r="E35" s="23">
        <v>18500</v>
      </c>
      <c r="F35" s="23">
        <v>5700</v>
      </c>
      <c r="G35" s="23">
        <v>300</v>
      </c>
      <c r="H35" s="23">
        <v>0</v>
      </c>
      <c r="I35" s="23">
        <v>12000</v>
      </c>
      <c r="J35" s="23">
        <v>0</v>
      </c>
      <c r="K35" s="23">
        <v>95</v>
      </c>
      <c r="L35" s="23">
        <v>20</v>
      </c>
      <c r="M35" s="23">
        <f>30*1650</f>
        <v>49500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>
        <v>45000</v>
      </c>
      <c r="AA35" s="23">
        <v>0</v>
      </c>
      <c r="AB35" s="23">
        <v>0</v>
      </c>
      <c r="AC35" s="23">
        <v>18000</v>
      </c>
      <c r="AD35" s="23">
        <v>2050</v>
      </c>
      <c r="AE35" s="23">
        <v>5000</v>
      </c>
      <c r="AF35" s="23">
        <v>6000</v>
      </c>
      <c r="AG35" s="23">
        <v>0</v>
      </c>
      <c r="AH35" s="23">
        <v>0</v>
      </c>
      <c r="AI35" s="23">
        <v>500</v>
      </c>
      <c r="AJ35" s="23">
        <v>0</v>
      </c>
      <c r="AK35" s="23">
        <f>60*500</f>
        <v>30000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</row>
    <row r="36" spans="1:73" x14ac:dyDescent="0.2">
      <c r="A36" s="23">
        <v>10</v>
      </c>
      <c r="B36" s="23">
        <v>6000</v>
      </c>
      <c r="C36" s="23">
        <v>0</v>
      </c>
      <c r="D36" s="23">
        <v>0</v>
      </c>
      <c r="E36" s="23">
        <v>17000</v>
      </c>
      <c r="F36" s="23">
        <f>1827+2400</f>
        <v>4227</v>
      </c>
      <c r="G36" s="23">
        <v>1000</v>
      </c>
      <c r="H36" s="23">
        <v>0</v>
      </c>
      <c r="I36" s="23">
        <v>18200</v>
      </c>
      <c r="J36" s="23">
        <v>0</v>
      </c>
      <c r="K36" s="23">
        <v>40</v>
      </c>
      <c r="L36" s="23">
        <v>40</v>
      </c>
      <c r="M36" s="23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</row>
    <row r="37" spans="1:73" x14ac:dyDescent="0.2">
      <c r="A37" s="23">
        <v>11</v>
      </c>
      <c r="B37" s="23">
        <v>2000</v>
      </c>
      <c r="C37" s="23">
        <v>0</v>
      </c>
      <c r="D37" s="23">
        <v>0</v>
      </c>
      <c r="E37" s="23">
        <v>24000</v>
      </c>
      <c r="F37" s="23">
        <v>6200</v>
      </c>
      <c r="G37" s="23">
        <v>0</v>
      </c>
      <c r="H37" s="23">
        <v>0</v>
      </c>
      <c r="I37" s="23">
        <v>17000</v>
      </c>
      <c r="J37" s="23">
        <v>0</v>
      </c>
      <c r="K37" s="23">
        <v>80</v>
      </c>
      <c r="L37" s="23">
        <v>30</v>
      </c>
      <c r="M37" s="23">
        <f>31*1000</f>
        <v>31000</v>
      </c>
      <c r="N37" s="23">
        <v>2700</v>
      </c>
      <c r="O37" s="23">
        <v>0</v>
      </c>
      <c r="P37" s="23">
        <v>0</v>
      </c>
      <c r="Q37" s="23">
        <v>20000</v>
      </c>
      <c r="R37" s="23">
        <v>5800</v>
      </c>
      <c r="S37" s="23">
        <v>0</v>
      </c>
      <c r="T37" s="23">
        <v>0</v>
      </c>
      <c r="U37" s="23">
        <v>33000</v>
      </c>
      <c r="V37" s="23">
        <v>0</v>
      </c>
      <c r="W37" s="23">
        <v>1600</v>
      </c>
      <c r="X37" s="23">
        <v>0</v>
      </c>
      <c r="Y37" s="23">
        <f>95*1600</f>
        <v>152000</v>
      </c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</row>
    <row r="38" spans="1:73" x14ac:dyDescent="0.2">
      <c r="A38" s="23">
        <v>12</v>
      </c>
      <c r="B38" s="23">
        <v>7000</v>
      </c>
      <c r="C38" s="23">
        <v>0</v>
      </c>
      <c r="D38" s="23">
        <v>0</v>
      </c>
      <c r="E38" s="23">
        <v>29000</v>
      </c>
      <c r="F38" s="23">
        <f>2450+5000+7500</f>
        <v>14950</v>
      </c>
      <c r="G38" s="23">
        <v>0</v>
      </c>
      <c r="H38" s="23">
        <v>0</v>
      </c>
      <c r="I38" s="23">
        <v>20000</v>
      </c>
      <c r="J38" s="23">
        <v>0</v>
      </c>
      <c r="K38" s="23">
        <v>250</v>
      </c>
      <c r="L38" s="23">
        <v>100</v>
      </c>
      <c r="M38" s="23">
        <f>27*3000</f>
        <v>81000</v>
      </c>
      <c r="N38" s="23">
        <v>2600</v>
      </c>
      <c r="O38" s="23">
        <v>0</v>
      </c>
      <c r="P38" s="23">
        <v>0</v>
      </c>
      <c r="Q38" s="23">
        <v>12000</v>
      </c>
      <c r="R38" s="23">
        <v>9450</v>
      </c>
      <c r="S38" s="23">
        <v>0</v>
      </c>
      <c r="T38" s="23">
        <v>0</v>
      </c>
      <c r="U38" s="23">
        <v>36000</v>
      </c>
      <c r="V38" s="23">
        <v>0</v>
      </c>
      <c r="W38" s="23">
        <v>800</v>
      </c>
      <c r="X38" s="23">
        <v>0</v>
      </c>
      <c r="Y38" s="23">
        <f>95*800</f>
        <v>76000</v>
      </c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</row>
    <row r="39" spans="1:73" x14ac:dyDescent="0.2">
      <c r="A39" s="23">
        <v>13</v>
      </c>
      <c r="B39" s="23">
        <v>6000</v>
      </c>
      <c r="C39" s="23">
        <v>0</v>
      </c>
      <c r="D39" s="23">
        <v>0</v>
      </c>
      <c r="E39" s="23">
        <v>18000</v>
      </c>
      <c r="F39" s="23">
        <v>9500</v>
      </c>
      <c r="G39" s="23">
        <v>0</v>
      </c>
      <c r="H39" s="23">
        <v>0</v>
      </c>
      <c r="I39" s="23">
        <v>37000</v>
      </c>
      <c r="J39" s="23">
        <v>0</v>
      </c>
      <c r="K39" s="23">
        <v>250</v>
      </c>
      <c r="L39" s="23">
        <v>50</v>
      </c>
      <c r="M39" s="23">
        <f>45*2000</f>
        <v>90000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</row>
    <row r="40" spans="1:73" x14ac:dyDescent="0.2">
      <c r="A40" s="23">
        <v>14</v>
      </c>
      <c r="B40" s="23">
        <v>1500</v>
      </c>
      <c r="C40" s="23">
        <v>0</v>
      </c>
      <c r="D40" s="23">
        <v>0</v>
      </c>
      <c r="E40" s="23">
        <v>13000</v>
      </c>
      <c r="F40" s="23">
        <v>3800</v>
      </c>
      <c r="G40" s="23">
        <v>0</v>
      </c>
      <c r="H40" s="23">
        <v>0</v>
      </c>
      <c r="I40" s="23">
        <v>9500</v>
      </c>
      <c r="J40" s="23">
        <v>0</v>
      </c>
      <c r="K40" s="23">
        <v>80</v>
      </c>
      <c r="L40" s="23">
        <v>30</v>
      </c>
      <c r="M40" s="23">
        <v>31000</v>
      </c>
      <c r="N40" s="23">
        <v>1000</v>
      </c>
      <c r="O40" s="23">
        <v>0</v>
      </c>
      <c r="P40" s="23">
        <v>0</v>
      </c>
      <c r="Q40" s="23">
        <v>6000</v>
      </c>
      <c r="R40" s="23">
        <v>1000</v>
      </c>
      <c r="S40" s="23">
        <v>0</v>
      </c>
      <c r="T40" s="23">
        <v>0</v>
      </c>
      <c r="U40" s="23">
        <v>13000</v>
      </c>
      <c r="V40" s="23">
        <v>0</v>
      </c>
      <c r="W40" s="23">
        <v>500</v>
      </c>
      <c r="X40" s="23">
        <v>0</v>
      </c>
      <c r="Y40" s="23">
        <f>90*500</f>
        <v>45000</v>
      </c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>
        <v>12000</v>
      </c>
      <c r="BK40" s="23">
        <v>0</v>
      </c>
      <c r="BL40" s="23">
        <v>0</v>
      </c>
      <c r="BM40" s="23">
        <v>22000</v>
      </c>
      <c r="BN40" s="23">
        <v>17200</v>
      </c>
      <c r="BO40" s="23">
        <v>0</v>
      </c>
      <c r="BP40" s="23">
        <v>0</v>
      </c>
      <c r="BQ40" s="23">
        <v>16000</v>
      </c>
      <c r="BR40" s="23">
        <v>0</v>
      </c>
      <c r="BS40" s="23">
        <v>6000</v>
      </c>
      <c r="BT40" s="23">
        <v>0</v>
      </c>
      <c r="BU40" s="23">
        <f>13*6000</f>
        <v>78000</v>
      </c>
    </row>
    <row r="41" spans="1:73" x14ac:dyDescent="0.2">
      <c r="A41" s="23">
        <v>15</v>
      </c>
      <c r="B41" s="23">
        <v>0</v>
      </c>
      <c r="C41" s="23">
        <v>0</v>
      </c>
      <c r="D41" s="23">
        <v>0</v>
      </c>
      <c r="E41" s="23">
        <v>9000</v>
      </c>
      <c r="F41" s="23">
        <v>2250</v>
      </c>
      <c r="G41" s="23">
        <v>0</v>
      </c>
      <c r="H41" s="23">
        <v>0</v>
      </c>
      <c r="I41" s="23">
        <v>12000</v>
      </c>
      <c r="J41" s="23">
        <v>0</v>
      </c>
      <c r="K41" s="23">
        <v>110</v>
      </c>
      <c r="L41" s="23">
        <v>10</v>
      </c>
      <c r="M41" s="23">
        <f>45*100*20.5</f>
        <v>92250</v>
      </c>
      <c r="N41" s="23">
        <v>1000</v>
      </c>
      <c r="O41" s="23">
        <v>0</v>
      </c>
      <c r="P41" s="23">
        <v>0</v>
      </c>
      <c r="Q41" s="23">
        <v>9000</v>
      </c>
      <c r="R41" s="23">
        <v>2200</v>
      </c>
      <c r="S41" s="23">
        <v>0</v>
      </c>
      <c r="T41" s="23">
        <v>0</v>
      </c>
      <c r="U41" s="23">
        <v>8000</v>
      </c>
      <c r="V41" s="23">
        <v>0</v>
      </c>
      <c r="W41" s="23">
        <v>352</v>
      </c>
      <c r="X41" s="23">
        <v>0</v>
      </c>
      <c r="Y41" s="23">
        <f>90*352</f>
        <v>31680</v>
      </c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>
        <v>27000</v>
      </c>
      <c r="AM41" s="23">
        <v>0</v>
      </c>
      <c r="AN41" s="23">
        <v>0</v>
      </c>
      <c r="AO41" s="23">
        <v>17450</v>
      </c>
      <c r="AP41" s="23">
        <v>3200</v>
      </c>
      <c r="AQ41" s="23">
        <v>0</v>
      </c>
      <c r="AR41" s="23">
        <v>0</v>
      </c>
      <c r="AS41" s="23">
        <v>0</v>
      </c>
      <c r="AT41" s="23">
        <v>0</v>
      </c>
      <c r="AU41" s="23">
        <v>2000</v>
      </c>
      <c r="AV41" s="23">
        <v>0</v>
      </c>
      <c r="AW41" s="23">
        <f>85*2000</f>
        <v>170000</v>
      </c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</row>
    <row r="42" spans="1:73" x14ac:dyDescent="0.2">
      <c r="A42" s="23">
        <v>16</v>
      </c>
      <c r="B42" s="23">
        <v>6750</v>
      </c>
      <c r="C42" s="23">
        <v>0</v>
      </c>
      <c r="D42" s="23">
        <v>0</v>
      </c>
      <c r="E42" s="23">
        <v>17000</v>
      </c>
      <c r="F42" s="23">
        <f>2450+7500</f>
        <v>9950</v>
      </c>
      <c r="G42" s="23">
        <v>0</v>
      </c>
      <c r="H42" s="23">
        <v>0</v>
      </c>
      <c r="I42" s="23">
        <v>24500</v>
      </c>
      <c r="J42" s="23">
        <v>0</v>
      </c>
      <c r="K42" s="23">
        <v>140</v>
      </c>
      <c r="L42" s="23">
        <v>25</v>
      </c>
      <c r="M42" s="23">
        <f>23*2420</f>
        <v>55660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</row>
    <row r="43" spans="1:73" x14ac:dyDescent="0.2">
      <c r="A43" s="23">
        <v>17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>
        <v>18000</v>
      </c>
      <c r="AM43" s="23">
        <v>0</v>
      </c>
      <c r="AN43" s="23">
        <v>0</v>
      </c>
      <c r="AO43" s="23">
        <v>16000</v>
      </c>
      <c r="AP43" s="23">
        <v>4650</v>
      </c>
      <c r="AQ43" s="23">
        <v>0</v>
      </c>
      <c r="AR43" s="23">
        <v>12000</v>
      </c>
      <c r="AS43" s="23">
        <v>0</v>
      </c>
      <c r="AT43" s="23">
        <v>0</v>
      </c>
      <c r="AU43" s="23">
        <v>600</v>
      </c>
      <c r="AV43" s="23">
        <v>0</v>
      </c>
      <c r="AW43" s="23">
        <f>600*24</f>
        <v>14400</v>
      </c>
      <c r="AX43" s="23">
        <v>6000</v>
      </c>
      <c r="AY43" s="23">
        <v>0</v>
      </c>
      <c r="AZ43" s="23">
        <v>0</v>
      </c>
      <c r="BA43" s="23">
        <v>10000</v>
      </c>
      <c r="BB43" s="23">
        <v>3400</v>
      </c>
      <c r="BC43" s="23"/>
      <c r="BD43" s="23">
        <v>3000</v>
      </c>
      <c r="BE43" s="23">
        <v>0</v>
      </c>
      <c r="BF43" s="23">
        <v>0</v>
      </c>
      <c r="BG43" s="23">
        <v>155</v>
      </c>
      <c r="BH43" s="23">
        <v>0</v>
      </c>
      <c r="BI43" s="23">
        <f>14*155</f>
        <v>2170</v>
      </c>
      <c r="BJ43" s="23">
        <v>16000</v>
      </c>
      <c r="BK43" s="23">
        <v>0</v>
      </c>
      <c r="BL43" s="23">
        <v>0</v>
      </c>
      <c r="BM43" s="23">
        <v>34000</v>
      </c>
      <c r="BN43" s="23">
        <v>15000</v>
      </c>
      <c r="BO43" s="23">
        <v>0</v>
      </c>
      <c r="BP43" s="23">
        <v>7000</v>
      </c>
      <c r="BQ43" s="23">
        <v>0</v>
      </c>
      <c r="BR43" s="23">
        <v>0</v>
      </c>
      <c r="BS43" s="23">
        <v>5000</v>
      </c>
      <c r="BT43" s="23">
        <v>0</v>
      </c>
      <c r="BU43" s="23">
        <f>19*5000</f>
        <v>95000</v>
      </c>
    </row>
    <row r="44" spans="1:73" x14ac:dyDescent="0.2">
      <c r="A44" s="23">
        <v>18</v>
      </c>
      <c r="B44" s="23">
        <v>8000</v>
      </c>
      <c r="C44" s="23">
        <v>0</v>
      </c>
      <c r="D44" s="23">
        <v>0</v>
      </c>
      <c r="E44" s="23">
        <v>16500</v>
      </c>
      <c r="F44" s="23">
        <v>9200</v>
      </c>
      <c r="G44" s="23">
        <v>2000</v>
      </c>
      <c r="H44" s="23">
        <v>0</v>
      </c>
      <c r="I44" s="23">
        <f>13500+1000+350</f>
        <v>14850</v>
      </c>
      <c r="J44" s="23">
        <v>0</v>
      </c>
      <c r="K44" s="23">
        <v>115</v>
      </c>
      <c r="L44" s="23">
        <v>0</v>
      </c>
      <c r="M44" s="23">
        <f>37*2530</f>
        <v>93610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</row>
    <row r="45" spans="1:73" x14ac:dyDescent="0.2">
      <c r="A45" s="23">
        <v>19</v>
      </c>
      <c r="B45" s="23">
        <v>8000</v>
      </c>
      <c r="C45" s="23">
        <v>0</v>
      </c>
      <c r="D45" s="23">
        <v>0</v>
      </c>
      <c r="E45" s="23">
        <v>26000</v>
      </c>
      <c r="F45" s="23">
        <v>8700</v>
      </c>
      <c r="G45" s="23">
        <v>0</v>
      </c>
      <c r="H45" s="23">
        <v>0</v>
      </c>
      <c r="I45" s="23">
        <v>35500</v>
      </c>
      <c r="J45" s="23">
        <v>0</v>
      </c>
      <c r="K45" s="23">
        <v>300</v>
      </c>
      <c r="L45" s="23">
        <v>30</v>
      </c>
      <c r="M45" s="23">
        <f>40*5940</f>
        <v>237600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</row>
    <row r="46" spans="1:73" x14ac:dyDescent="0.2">
      <c r="A46" s="23">
        <v>20</v>
      </c>
      <c r="B46" s="23">
        <v>6000</v>
      </c>
      <c r="C46" s="23">
        <v>0</v>
      </c>
      <c r="D46" s="23">
        <v>0</v>
      </c>
      <c r="E46" s="23">
        <v>22500</v>
      </c>
      <c r="F46" s="23">
        <v>12000</v>
      </c>
      <c r="G46" s="23">
        <v>0</v>
      </c>
      <c r="H46" s="23">
        <v>0</v>
      </c>
      <c r="I46" s="23">
        <v>4000</v>
      </c>
      <c r="J46" s="23">
        <v>0</v>
      </c>
      <c r="K46" s="23">
        <v>150</v>
      </c>
      <c r="L46" s="23">
        <v>50</v>
      </c>
      <c r="M46" s="23">
        <f>23*2100</f>
        <v>48300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</row>
    <row r="47" spans="1:73" x14ac:dyDescent="0.2">
      <c r="A47" s="23">
        <v>21</v>
      </c>
      <c r="B47" s="23">
        <v>2500</v>
      </c>
      <c r="C47" s="23">
        <v>0</v>
      </c>
      <c r="D47" s="23">
        <v>0</v>
      </c>
      <c r="E47" s="23">
        <v>20200</v>
      </c>
      <c r="F47" s="23">
        <v>5450</v>
      </c>
      <c r="G47" s="23">
        <v>0</v>
      </c>
      <c r="H47" s="23">
        <v>0</v>
      </c>
      <c r="I47" s="23">
        <v>18000</v>
      </c>
      <c r="J47" s="23">
        <v>0</v>
      </c>
      <c r="K47" s="23">
        <v>22</v>
      </c>
      <c r="L47" s="23">
        <v>22</v>
      </c>
      <c r="M47" s="23">
        <f>35*484</f>
        <v>16940</v>
      </c>
      <c r="N47" s="23">
        <v>3000</v>
      </c>
      <c r="O47" s="23">
        <v>0</v>
      </c>
      <c r="P47" s="23">
        <v>0</v>
      </c>
      <c r="Q47" s="23">
        <v>17250</v>
      </c>
      <c r="R47" s="23">
        <v>3300</v>
      </c>
      <c r="S47" s="23">
        <v>0</v>
      </c>
      <c r="T47" s="23">
        <v>0</v>
      </c>
      <c r="U47" s="23">
        <f>3600+6000+1200</f>
        <v>10800</v>
      </c>
      <c r="V47" s="23">
        <v>0</v>
      </c>
      <c r="W47" s="23">
        <v>1000</v>
      </c>
      <c r="X47" s="23">
        <v>0</v>
      </c>
      <c r="Y47" s="23">
        <f>95*1000</f>
        <v>95000</v>
      </c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</row>
    <row r="48" spans="1:73" x14ac:dyDescent="0.2">
      <c r="A48" s="23">
        <v>22</v>
      </c>
      <c r="B48" s="23">
        <v>6000</v>
      </c>
      <c r="C48" s="23">
        <v>0</v>
      </c>
      <c r="D48" s="23">
        <v>0</v>
      </c>
      <c r="E48" s="23">
        <v>17000</v>
      </c>
      <c r="F48" s="23">
        <v>5900</v>
      </c>
      <c r="G48" s="23">
        <v>0</v>
      </c>
      <c r="H48" s="23">
        <v>0</v>
      </c>
      <c r="I48" s="23">
        <f>14000+4000+1000</f>
        <v>19000</v>
      </c>
      <c r="J48" s="23">
        <v>0</v>
      </c>
      <c r="K48" s="23">
        <v>75</v>
      </c>
      <c r="L48" s="23">
        <v>20</v>
      </c>
      <c r="M48" s="23">
        <f>45*1210</f>
        <v>54450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</row>
    <row r="49" spans="1:73" x14ac:dyDescent="0.2">
      <c r="A49" s="23">
        <v>23</v>
      </c>
      <c r="B49" s="23">
        <v>11900</v>
      </c>
      <c r="C49" s="23">
        <v>0</v>
      </c>
      <c r="D49" s="23">
        <v>0</v>
      </c>
      <c r="E49" s="23">
        <v>29000</v>
      </c>
      <c r="F49" s="23">
        <v>7500</v>
      </c>
      <c r="G49" s="23">
        <v>0</v>
      </c>
      <c r="H49" s="23">
        <v>0</v>
      </c>
      <c r="I49" s="23">
        <v>34500</v>
      </c>
      <c r="J49" s="23">
        <v>0</v>
      </c>
      <c r="K49" s="23">
        <v>300</v>
      </c>
      <c r="L49" s="23">
        <v>20</v>
      </c>
      <c r="M49" s="23">
        <f>32*3700</f>
        <v>118400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</row>
    <row r="50" spans="1:73" x14ac:dyDescent="0.2">
      <c r="A50" s="23">
        <v>24</v>
      </c>
      <c r="B50" s="23">
        <v>12000</v>
      </c>
      <c r="C50" s="23">
        <v>0</v>
      </c>
      <c r="D50" s="23">
        <v>0</v>
      </c>
      <c r="E50" s="23">
        <f>32000+30300</f>
        <v>62300</v>
      </c>
      <c r="F50" s="23">
        <v>14500</v>
      </c>
      <c r="G50" s="23">
        <v>0</v>
      </c>
      <c r="H50" s="23">
        <v>0</v>
      </c>
      <c r="I50" s="23">
        <v>12500</v>
      </c>
      <c r="J50" s="23">
        <v>0</v>
      </c>
      <c r="K50" s="23">
        <v>250</v>
      </c>
      <c r="L50" s="23">
        <v>50</v>
      </c>
      <c r="M50" s="23">
        <f>27*5000</f>
        <v>135000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</row>
    <row r="51" spans="1:73" x14ac:dyDescent="0.2">
      <c r="A51" s="29">
        <v>301</v>
      </c>
      <c r="B51" s="29">
        <f>1350*3</f>
        <v>4050</v>
      </c>
      <c r="C51" s="29">
        <v>2000</v>
      </c>
      <c r="D51" s="29">
        <v>0</v>
      </c>
      <c r="E51" s="29">
        <f>9000</f>
        <v>9000</v>
      </c>
      <c r="F51" s="29">
        <f>2400+700+1250</f>
        <v>4350</v>
      </c>
      <c r="G51" s="29">
        <v>0</v>
      </c>
      <c r="H51" s="29">
        <v>0</v>
      </c>
      <c r="I51" s="29">
        <v>10000</v>
      </c>
      <c r="J51" s="29">
        <v>0</v>
      </c>
      <c r="K51" s="29">
        <v>130</v>
      </c>
      <c r="L51" s="29">
        <v>130</v>
      </c>
      <c r="M51" s="29"/>
      <c r="N51" s="29">
        <f>125*25</f>
        <v>3125</v>
      </c>
      <c r="O51" s="29">
        <v>12000</v>
      </c>
      <c r="P51" s="29">
        <v>0</v>
      </c>
      <c r="Q51" s="29">
        <v>4000</v>
      </c>
      <c r="R51" s="29">
        <f>700+1500+800</f>
        <v>3000</v>
      </c>
      <c r="S51" s="29">
        <v>20000</v>
      </c>
      <c r="T51" s="29">
        <v>0</v>
      </c>
      <c r="U51" s="29">
        <v>120000</v>
      </c>
      <c r="V51" s="29">
        <v>0</v>
      </c>
      <c r="W51" s="29">
        <v>1060</v>
      </c>
      <c r="X51" s="29">
        <v>0</v>
      </c>
      <c r="Y51" s="29">
        <f>80*1060</f>
        <v>84800</v>
      </c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</row>
    <row r="52" spans="1:73" s="53" customFormat="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</row>
    <row r="53" spans="1:73" x14ac:dyDescent="0.2">
      <c r="A53" s="30">
        <v>137</v>
      </c>
      <c r="B53" s="30">
        <v>2200</v>
      </c>
      <c r="C53" s="30">
        <v>0</v>
      </c>
      <c r="D53" s="30">
        <v>0</v>
      </c>
      <c r="E53" s="30">
        <v>14000</v>
      </c>
      <c r="F53" s="30">
        <f>900+350+500+5000+1800</f>
        <v>8550</v>
      </c>
      <c r="G53" s="30">
        <v>0</v>
      </c>
      <c r="H53" s="30">
        <v>0</v>
      </c>
      <c r="I53" s="30">
        <v>11000</v>
      </c>
      <c r="J53" s="30">
        <v>0</v>
      </c>
      <c r="K53" s="30">
        <v>50</v>
      </c>
      <c r="L53" s="30">
        <v>20</v>
      </c>
      <c r="M53" s="30">
        <f>36*660</f>
        <v>23760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 spans="1:73" x14ac:dyDescent="0.2">
      <c r="A54" s="23">
        <v>134</v>
      </c>
      <c r="B54" s="23">
        <v>3480</v>
      </c>
      <c r="C54" s="23">
        <v>0</v>
      </c>
      <c r="D54" s="23">
        <v>0</v>
      </c>
      <c r="E54" s="23">
        <v>17500</v>
      </c>
      <c r="F54" s="23">
        <f>2650+950</f>
        <v>3600</v>
      </c>
      <c r="G54" s="23">
        <v>0</v>
      </c>
      <c r="H54" s="23">
        <v>0</v>
      </c>
      <c r="I54" s="23">
        <v>6000</v>
      </c>
      <c r="J54" s="23">
        <v>0</v>
      </c>
      <c r="K54" s="23">
        <v>60</v>
      </c>
      <c r="L54" s="23">
        <v>60</v>
      </c>
      <c r="M54" s="23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</row>
    <row r="55" spans="1:73" x14ac:dyDescent="0.2">
      <c r="A55" s="23">
        <v>130</v>
      </c>
      <c r="B55" s="23">
        <v>3750</v>
      </c>
      <c r="C55" s="23">
        <v>0</v>
      </c>
      <c r="D55" s="23">
        <v>0</v>
      </c>
      <c r="E55" s="23">
        <v>10000</v>
      </c>
      <c r="F55" s="23">
        <f>3500+530+1050+8000</f>
        <v>13080</v>
      </c>
      <c r="G55" s="23">
        <v>0</v>
      </c>
      <c r="H55" s="23">
        <v>0</v>
      </c>
      <c r="I55" s="23">
        <v>32000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</row>
    <row r="56" spans="1:73" x14ac:dyDescent="0.2">
      <c r="A56" s="23">
        <v>131</v>
      </c>
      <c r="B56" s="23">
        <v>2400</v>
      </c>
      <c r="C56" s="23">
        <v>0</v>
      </c>
      <c r="D56" s="23">
        <v>0</v>
      </c>
      <c r="E56" s="23">
        <v>3000</v>
      </c>
      <c r="F56" s="23">
        <f>300+200+200+480+350+1200</f>
        <v>2730</v>
      </c>
      <c r="G56" s="23">
        <v>0</v>
      </c>
      <c r="H56" s="23">
        <v>0</v>
      </c>
      <c r="I56" s="23">
        <v>6000</v>
      </c>
      <c r="J56" s="23">
        <v>0</v>
      </c>
      <c r="K56" s="23">
        <v>65</v>
      </c>
      <c r="L56" s="23">
        <v>25</v>
      </c>
      <c r="M56" s="23">
        <f>36*880</f>
        <v>31680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</row>
    <row r="57" spans="1:73" x14ac:dyDescent="0.2">
      <c r="A57" s="23">
        <v>132</v>
      </c>
      <c r="B57" s="23">
        <v>2800</v>
      </c>
      <c r="C57" s="23">
        <v>0</v>
      </c>
      <c r="D57" s="23">
        <v>0</v>
      </c>
      <c r="E57" s="23">
        <v>3000</v>
      </c>
      <c r="F57" s="23">
        <f>300+400+480+350+1200</f>
        <v>2730</v>
      </c>
      <c r="G57" s="23">
        <v>0</v>
      </c>
      <c r="H57" s="23">
        <v>0</v>
      </c>
      <c r="I57" s="23">
        <v>6000</v>
      </c>
      <c r="J57" s="23">
        <v>0</v>
      </c>
      <c r="K57" s="23">
        <v>60</v>
      </c>
      <c r="L57" s="23">
        <v>60</v>
      </c>
      <c r="M57" s="23">
        <v>0</v>
      </c>
      <c r="N57" s="23">
        <v>8500</v>
      </c>
      <c r="O57" s="23">
        <v>0</v>
      </c>
      <c r="P57" s="23">
        <v>0</v>
      </c>
      <c r="Q57" s="23">
        <f>17500+24000</f>
        <v>41500</v>
      </c>
      <c r="R57" s="23">
        <f>750+300+600+1200+3000+3800</f>
        <v>9650</v>
      </c>
      <c r="S57" s="23">
        <v>12000</v>
      </c>
      <c r="T57" s="23">
        <v>0</v>
      </c>
      <c r="U57" s="23">
        <v>45500</v>
      </c>
      <c r="V57" s="23">
        <v>0</v>
      </c>
      <c r="W57" s="23">
        <v>1650</v>
      </c>
      <c r="X57" s="23">
        <v>0</v>
      </c>
      <c r="Y57" s="23">
        <f>90*1650</f>
        <v>148500</v>
      </c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</row>
    <row r="58" spans="1:73" x14ac:dyDescent="0.2">
      <c r="A58" s="23">
        <v>133</v>
      </c>
      <c r="B58" s="23">
        <v>10560</v>
      </c>
      <c r="C58" s="23">
        <v>0</v>
      </c>
      <c r="D58" s="23">
        <v>0</v>
      </c>
      <c r="E58" s="23">
        <f>24500</f>
        <v>24500</v>
      </c>
      <c r="F58" s="23">
        <f>1750+250+550</f>
        <v>2550</v>
      </c>
      <c r="G58" s="23">
        <v>0</v>
      </c>
      <c r="H58" s="23">
        <v>0</v>
      </c>
      <c r="I58" s="23">
        <v>16000</v>
      </c>
      <c r="J58" s="23">
        <v>0</v>
      </c>
      <c r="K58" s="23">
        <v>125</v>
      </c>
      <c r="L58" s="23">
        <v>25</v>
      </c>
      <c r="M58" s="23">
        <f>28*2200</f>
        <v>61600</v>
      </c>
      <c r="N58" s="23">
        <v>1875</v>
      </c>
      <c r="O58" s="23">
        <v>0</v>
      </c>
      <c r="P58" s="23">
        <v>0</v>
      </c>
      <c r="Q58" s="23">
        <f>24000+9500</f>
        <v>33500</v>
      </c>
      <c r="R58" s="23">
        <f>1750+250+550+2900</f>
        <v>5450</v>
      </c>
      <c r="S58" s="23">
        <v>8000</v>
      </c>
      <c r="T58" s="23">
        <v>0</v>
      </c>
      <c r="U58" s="23">
        <f>4500+9000</f>
        <v>13500</v>
      </c>
      <c r="V58" s="23">
        <v>0</v>
      </c>
      <c r="W58" s="23">
        <v>600</v>
      </c>
      <c r="X58" s="23">
        <v>0</v>
      </c>
      <c r="Y58" s="23">
        <f>95*600</f>
        <v>57000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</row>
    <row r="59" spans="1:73" x14ac:dyDescent="0.2">
      <c r="A59" s="23">
        <v>34</v>
      </c>
      <c r="B59" s="23">
        <v>8000</v>
      </c>
      <c r="C59" s="23">
        <v>0</v>
      </c>
      <c r="D59" s="23">
        <v>0</v>
      </c>
      <c r="E59" s="23">
        <f>6000+6000+30000+6000</f>
        <v>48000</v>
      </c>
      <c r="F59" s="23">
        <f>2500+500+500</f>
        <v>3500</v>
      </c>
      <c r="G59" s="23">
        <v>2000</v>
      </c>
      <c r="H59" s="23">
        <v>0</v>
      </c>
      <c r="I59" s="23">
        <v>37000</v>
      </c>
      <c r="J59" s="23">
        <v>0</v>
      </c>
      <c r="K59" s="23">
        <v>60</v>
      </c>
      <c r="L59" s="23">
        <v>60</v>
      </c>
      <c r="M59" s="23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</row>
    <row r="60" spans="1:73" x14ac:dyDescent="0.2">
      <c r="A60" s="23">
        <v>35</v>
      </c>
      <c r="B60" s="23">
        <v>0</v>
      </c>
      <c r="C60" s="23">
        <v>0</v>
      </c>
      <c r="D60" s="23">
        <v>0</v>
      </c>
      <c r="E60" s="23">
        <v>4500</v>
      </c>
      <c r="F60" s="23">
        <v>2400</v>
      </c>
      <c r="G60" s="23">
        <v>0</v>
      </c>
      <c r="H60" s="23">
        <v>0</v>
      </c>
      <c r="I60" s="23">
        <v>13500</v>
      </c>
      <c r="J60" s="23">
        <v>0</v>
      </c>
      <c r="K60" s="23">
        <v>75</v>
      </c>
      <c r="L60" s="23">
        <v>50</v>
      </c>
      <c r="M60" s="23">
        <f>26*550</f>
        <v>14300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</row>
    <row r="61" spans="1:73" x14ac:dyDescent="0.2">
      <c r="A61" s="23">
        <v>33</v>
      </c>
      <c r="B61" s="23">
        <v>4400</v>
      </c>
      <c r="C61" s="23">
        <v>0</v>
      </c>
      <c r="D61" s="23">
        <v>0</v>
      </c>
      <c r="E61" s="23">
        <v>16000</v>
      </c>
      <c r="F61" s="23">
        <f>1500+350+300</f>
        <v>2150</v>
      </c>
      <c r="G61" s="23">
        <v>0</v>
      </c>
      <c r="H61" s="23">
        <v>0</v>
      </c>
      <c r="I61" s="23">
        <v>17600</v>
      </c>
      <c r="J61" s="23">
        <v>0</v>
      </c>
      <c r="K61" s="23">
        <v>300</v>
      </c>
      <c r="L61" s="23">
        <v>25</v>
      </c>
      <c r="M61" s="23">
        <f>35*6050</f>
        <v>211750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</row>
    <row r="62" spans="1:73" x14ac:dyDescent="0.2">
      <c r="A62" s="23">
        <v>32</v>
      </c>
      <c r="B62" s="23">
        <v>1700</v>
      </c>
      <c r="C62" s="23">
        <v>0</v>
      </c>
      <c r="D62" s="23">
        <v>0</v>
      </c>
      <c r="E62" s="23">
        <v>8000</v>
      </c>
      <c r="F62" s="23">
        <f>1880+500+950</f>
        <v>3330</v>
      </c>
      <c r="G62" s="23">
        <v>0</v>
      </c>
      <c r="H62" s="23">
        <v>0</v>
      </c>
      <c r="I62" s="23">
        <v>6000</v>
      </c>
      <c r="J62" s="23">
        <v>0</v>
      </c>
      <c r="K62" s="23">
        <v>50</v>
      </c>
      <c r="L62" s="23">
        <v>30</v>
      </c>
      <c r="M62" s="23">
        <f>31*440</f>
        <v>13640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</row>
    <row r="63" spans="1:73" x14ac:dyDescent="0.2">
      <c r="A63" s="23">
        <v>31</v>
      </c>
      <c r="B63" s="23">
        <v>0</v>
      </c>
      <c r="C63" s="23">
        <v>0</v>
      </c>
      <c r="D63" s="23">
        <v>0</v>
      </c>
      <c r="E63" s="23">
        <v>10000</v>
      </c>
      <c r="F63" s="23">
        <f>2300+1300+800+1100</f>
        <v>5500</v>
      </c>
      <c r="G63" s="23">
        <v>0</v>
      </c>
      <c r="H63" s="23">
        <v>0</v>
      </c>
      <c r="I63" s="23">
        <v>16700</v>
      </c>
      <c r="J63" s="23">
        <v>0</v>
      </c>
      <c r="K63" s="23">
        <v>150</v>
      </c>
      <c r="L63" s="23">
        <v>50</v>
      </c>
      <c r="M63" s="23">
        <f>27*2200</f>
        <v>59400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</row>
    <row r="64" spans="1:73" x14ac:dyDescent="0.2">
      <c r="A64" s="23">
        <v>142</v>
      </c>
      <c r="B64" s="23">
        <v>3600</v>
      </c>
      <c r="C64" s="23">
        <v>0</v>
      </c>
      <c r="D64" s="23">
        <v>0</v>
      </c>
      <c r="E64" s="23">
        <v>18000</v>
      </c>
      <c r="F64" s="23">
        <f>900+450+350+3600</f>
        <v>5300</v>
      </c>
      <c r="G64" s="23">
        <v>0</v>
      </c>
      <c r="H64" s="23">
        <v>0</v>
      </c>
      <c r="I64" s="23">
        <v>16000</v>
      </c>
      <c r="J64" s="23">
        <v>0</v>
      </c>
      <c r="K64" s="23">
        <v>140</v>
      </c>
      <c r="L64" s="23">
        <v>50</v>
      </c>
      <c r="M64" s="23">
        <f>28*1980</f>
        <v>55440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</row>
    <row r="65" spans="1:73" x14ac:dyDescent="0.2">
      <c r="A65" s="23">
        <v>30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>
        <v>3600</v>
      </c>
      <c r="O65" s="23">
        <v>0</v>
      </c>
      <c r="P65" s="23">
        <v>0</v>
      </c>
      <c r="Q65" s="23">
        <v>28500</v>
      </c>
      <c r="R65" s="23">
        <f>1350+12000</f>
        <v>13350</v>
      </c>
      <c r="S65" s="23">
        <v>10000</v>
      </c>
      <c r="T65" s="23">
        <v>0</v>
      </c>
      <c r="U65" s="23">
        <f>14200+750</f>
        <v>14950</v>
      </c>
      <c r="V65" s="23">
        <v>0</v>
      </c>
      <c r="W65" s="23">
        <v>1000</v>
      </c>
      <c r="X65" s="23">
        <v>0</v>
      </c>
      <c r="Y65" s="23">
        <f>95*1000</f>
        <v>95000</v>
      </c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</row>
    <row r="66" spans="1:73" x14ac:dyDescent="0.2">
      <c r="A66" s="23">
        <v>38</v>
      </c>
      <c r="B66" s="23">
        <v>0</v>
      </c>
      <c r="C66" s="23">
        <v>0</v>
      </c>
      <c r="D66" s="23">
        <v>0</v>
      </c>
      <c r="E66" s="23">
        <v>15000</v>
      </c>
      <c r="F66" s="23">
        <f>1250+240+220</f>
        <v>1710</v>
      </c>
      <c r="G66" s="23">
        <v>0</v>
      </c>
      <c r="H66" s="23">
        <v>0</v>
      </c>
      <c r="I66" s="23">
        <v>11000</v>
      </c>
      <c r="J66" s="23">
        <v>0</v>
      </c>
      <c r="K66" s="23">
        <v>100</v>
      </c>
      <c r="L66" s="23">
        <v>70</v>
      </c>
      <c r="M66" s="23">
        <f>27*600</f>
        <v>16200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</row>
    <row r="67" spans="1:73" x14ac:dyDescent="0.2">
      <c r="A67" s="23">
        <v>36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>
        <v>6000</v>
      </c>
      <c r="O67" s="23">
        <v>0</v>
      </c>
      <c r="P67" s="23">
        <v>0</v>
      </c>
      <c r="Q67" s="23">
        <v>17000</v>
      </c>
      <c r="R67" s="23">
        <v>19000</v>
      </c>
      <c r="S67" s="23">
        <v>31000</v>
      </c>
      <c r="T67" s="23">
        <v>0</v>
      </c>
      <c r="U67" s="23">
        <v>17000</v>
      </c>
      <c r="V67" s="23">
        <v>0</v>
      </c>
      <c r="W67" s="23">
        <v>1000</v>
      </c>
      <c r="X67" s="23">
        <v>0</v>
      </c>
      <c r="Y67" s="23">
        <v>90000</v>
      </c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</row>
    <row r="68" spans="1:73" x14ac:dyDescent="0.2">
      <c r="A68" s="29">
        <v>39</v>
      </c>
      <c r="B68" s="29">
        <v>8250</v>
      </c>
      <c r="C68" s="29">
        <v>0</v>
      </c>
      <c r="D68" s="29">
        <v>0</v>
      </c>
      <c r="E68" s="29">
        <v>48000</v>
      </c>
      <c r="F68" s="29">
        <v>8000</v>
      </c>
      <c r="G68" s="29">
        <v>1000</v>
      </c>
      <c r="H68" s="29">
        <v>0</v>
      </c>
      <c r="I68" s="29">
        <v>35500</v>
      </c>
      <c r="J68" s="29">
        <v>0</v>
      </c>
      <c r="K68" s="29">
        <v>260</v>
      </c>
      <c r="L68" s="29">
        <v>75</v>
      </c>
      <c r="M68" s="29">
        <f>27*4070</f>
        <v>109890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</row>
    <row r="69" spans="1:73" s="53" customFormat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</row>
    <row r="70" spans="1:73" x14ac:dyDescent="0.2">
      <c r="A70" s="30">
        <v>136</v>
      </c>
      <c r="B70" s="30">
        <f>52*85</f>
        <v>4420</v>
      </c>
      <c r="C70" s="30">
        <v>0</v>
      </c>
      <c r="D70" s="30">
        <v>0</v>
      </c>
      <c r="E70" s="30">
        <v>21000</v>
      </c>
      <c r="F70" s="30">
        <f>8600+950</f>
        <v>9550</v>
      </c>
      <c r="G70" s="30">
        <v>0</v>
      </c>
      <c r="H70" s="30">
        <v>0</v>
      </c>
      <c r="I70" s="30">
        <v>16000</v>
      </c>
      <c r="J70" s="30">
        <v>0</v>
      </c>
      <c r="K70" s="30">
        <v>100</v>
      </c>
      <c r="L70" s="30">
        <v>20</v>
      </c>
      <c r="M70" s="30">
        <f>27*1760</f>
        <v>47520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 spans="1:73" x14ac:dyDescent="0.2">
      <c r="A71" s="23">
        <v>139</v>
      </c>
      <c r="B71" s="23">
        <v>3250</v>
      </c>
      <c r="C71" s="23">
        <v>0</v>
      </c>
      <c r="D71" s="23">
        <v>0</v>
      </c>
      <c r="E71" s="23">
        <v>41000</v>
      </c>
      <c r="F71" s="23">
        <f>500+350+250</f>
        <v>1100</v>
      </c>
      <c r="G71" s="23">
        <v>0</v>
      </c>
      <c r="H71" s="23">
        <v>0</v>
      </c>
      <c r="I71" s="23">
        <v>11000</v>
      </c>
      <c r="J71" s="23">
        <v>0</v>
      </c>
      <c r="K71" s="23">
        <v>90</v>
      </c>
      <c r="L71" s="23">
        <v>50</v>
      </c>
      <c r="M71" s="23">
        <f>43*880</f>
        <v>37840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</row>
    <row r="72" spans="1:73" x14ac:dyDescent="0.2">
      <c r="A72" s="23">
        <v>141</v>
      </c>
      <c r="B72" s="23">
        <v>2400</v>
      </c>
      <c r="C72" s="23">
        <v>0</v>
      </c>
      <c r="D72" s="23">
        <v>0</v>
      </c>
      <c r="E72" s="23">
        <v>4000</v>
      </c>
      <c r="F72" s="23">
        <f>750+370+370+2000</f>
        <v>3490</v>
      </c>
      <c r="G72" s="23">
        <v>0</v>
      </c>
      <c r="H72" s="23">
        <v>0</v>
      </c>
      <c r="I72" s="23">
        <v>15250</v>
      </c>
      <c r="J72" s="23">
        <v>0</v>
      </c>
      <c r="K72" s="23">
        <v>80</v>
      </c>
      <c r="L72" s="23">
        <v>40</v>
      </c>
      <c r="M72" s="23">
        <f>30*880</f>
        <v>26400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</row>
    <row r="73" spans="1:73" x14ac:dyDescent="0.2">
      <c r="A73" s="23">
        <v>140</v>
      </c>
      <c r="B73" s="23">
        <v>3600</v>
      </c>
      <c r="C73" s="23">
        <v>0</v>
      </c>
      <c r="D73" s="23">
        <v>0</v>
      </c>
      <c r="E73" s="23">
        <v>7000</v>
      </c>
      <c r="F73" s="23">
        <v>2300</v>
      </c>
      <c r="G73" s="23">
        <v>0</v>
      </c>
      <c r="H73" s="23">
        <v>0</v>
      </c>
      <c r="I73" s="23">
        <v>10300</v>
      </c>
      <c r="J73" s="23">
        <v>0</v>
      </c>
      <c r="K73" s="23">
        <v>90</v>
      </c>
      <c r="L73" s="23">
        <v>50</v>
      </c>
      <c r="M73" s="23">
        <f>32*880</f>
        <v>28160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</row>
    <row r="74" spans="1:73" x14ac:dyDescent="0.2">
      <c r="A74" s="23">
        <v>37</v>
      </c>
      <c r="B74" s="23">
        <v>6000</v>
      </c>
      <c r="C74" s="23">
        <v>0</v>
      </c>
      <c r="D74" s="23">
        <v>0</v>
      </c>
      <c r="E74" s="23">
        <v>29000</v>
      </c>
      <c r="F74" s="23">
        <f>1800+500+505</f>
        <v>2805</v>
      </c>
      <c r="G74" s="23">
        <v>0</v>
      </c>
      <c r="H74" s="23">
        <v>0</v>
      </c>
      <c r="I74" s="23">
        <v>35000</v>
      </c>
      <c r="J74" s="23">
        <v>0</v>
      </c>
      <c r="K74" s="23">
        <v>250</v>
      </c>
      <c r="L74" s="23">
        <v>60</v>
      </c>
      <c r="M74" s="23">
        <f>27*4180</f>
        <v>112860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</row>
    <row r="75" spans="1:73" x14ac:dyDescent="0.2">
      <c r="A75" s="23">
        <v>42</v>
      </c>
      <c r="B75" s="23">
        <v>3300</v>
      </c>
      <c r="C75" s="23">
        <v>0</v>
      </c>
      <c r="D75" s="23">
        <v>0</v>
      </c>
      <c r="E75" s="23">
        <v>9000</v>
      </c>
      <c r="F75" s="23">
        <f>2200+1500+3000</f>
        <v>6700</v>
      </c>
      <c r="G75" s="23">
        <v>0</v>
      </c>
      <c r="H75" s="23">
        <v>0</v>
      </c>
      <c r="I75" s="23">
        <v>14500</v>
      </c>
      <c r="J75" s="23">
        <v>0</v>
      </c>
      <c r="K75" s="23">
        <v>120</v>
      </c>
      <c r="L75" s="23">
        <v>40</v>
      </c>
      <c r="M75" s="23">
        <f>27*1760</f>
        <v>47520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</row>
    <row r="76" spans="1:73" x14ac:dyDescent="0.2">
      <c r="A76" s="23">
        <v>40</v>
      </c>
      <c r="B76" s="23">
        <v>3960</v>
      </c>
      <c r="C76" s="23">
        <v>0</v>
      </c>
      <c r="D76" s="23">
        <v>0</v>
      </c>
      <c r="E76" s="23">
        <v>35500</v>
      </c>
      <c r="F76" s="23">
        <f>1500+450+350+1750+2000</f>
        <v>6050</v>
      </c>
      <c r="G76" s="23">
        <v>1000</v>
      </c>
      <c r="H76" s="23">
        <v>0</v>
      </c>
      <c r="I76" s="23">
        <v>18500</v>
      </c>
      <c r="J76" s="23">
        <v>0</v>
      </c>
      <c r="K76" s="23">
        <v>125</v>
      </c>
      <c r="L76" s="23">
        <v>50</v>
      </c>
      <c r="M76" s="23">
        <f>29*1650</f>
        <v>47850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</row>
    <row r="77" spans="1:73" x14ac:dyDescent="0.2">
      <c r="A77" s="23">
        <v>41</v>
      </c>
      <c r="B77" s="23">
        <v>2460</v>
      </c>
      <c r="C77" s="23">
        <v>0</v>
      </c>
      <c r="D77" s="23">
        <v>0</v>
      </c>
      <c r="E77" s="23">
        <v>10000</v>
      </c>
      <c r="F77" s="23">
        <f>1500+500+350+8500</f>
        <v>10850</v>
      </c>
      <c r="G77" s="23">
        <v>0</v>
      </c>
      <c r="H77" s="23">
        <v>0</v>
      </c>
      <c r="I77" s="23">
        <v>11000</v>
      </c>
      <c r="J77" s="23">
        <v>0</v>
      </c>
      <c r="K77" s="23">
        <v>80</v>
      </c>
      <c r="L77" s="23">
        <v>30</v>
      </c>
      <c r="M77" s="23">
        <f>27*1100</f>
        <v>29700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</row>
    <row r="78" spans="1:73" x14ac:dyDescent="0.2">
      <c r="A78" s="23">
        <v>29</v>
      </c>
      <c r="B78" s="23">
        <v>0</v>
      </c>
      <c r="C78" s="23">
        <v>0</v>
      </c>
      <c r="D78" s="23">
        <v>0</v>
      </c>
      <c r="E78" s="23">
        <v>52000</v>
      </c>
      <c r="F78" s="23">
        <f>3000+450+500+2500+400</f>
        <v>6850</v>
      </c>
      <c r="G78" s="23">
        <v>2000</v>
      </c>
      <c r="H78" s="23">
        <v>0</v>
      </c>
      <c r="I78" s="23">
        <v>36000</v>
      </c>
      <c r="J78" s="23">
        <v>0</v>
      </c>
      <c r="K78" s="23">
        <v>250</v>
      </c>
      <c r="L78" s="23">
        <v>50</v>
      </c>
      <c r="M78" s="23">
        <f>27*4400</f>
        <v>118800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</row>
    <row r="79" spans="1:73" x14ac:dyDescent="0.2">
      <c r="A79" s="23">
        <v>28</v>
      </c>
      <c r="B79" s="23">
        <v>8690</v>
      </c>
      <c r="C79" s="23">
        <v>0</v>
      </c>
      <c r="D79" s="23">
        <v>0</v>
      </c>
      <c r="E79" s="23">
        <v>12125</v>
      </c>
      <c r="F79" s="23">
        <f>1250+400+300+4800+800+6000</f>
        <v>13550</v>
      </c>
      <c r="G79" s="23">
        <v>1000</v>
      </c>
      <c r="H79" s="23">
        <v>0</v>
      </c>
      <c r="I79" s="23">
        <v>18500</v>
      </c>
      <c r="J79" s="23">
        <v>0</v>
      </c>
      <c r="K79" s="23">
        <v>140</v>
      </c>
      <c r="L79" s="23">
        <v>50</v>
      </c>
      <c r="M79" s="23">
        <f>31*1980</f>
        <v>61380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</row>
    <row r="80" spans="1:73" x14ac:dyDescent="0.2">
      <c r="A80" s="23">
        <v>129</v>
      </c>
      <c r="B80" s="23">
        <v>6600</v>
      </c>
      <c r="C80" s="23">
        <v>0</v>
      </c>
      <c r="D80" s="23">
        <v>0</v>
      </c>
      <c r="E80" s="23">
        <v>16000</v>
      </c>
      <c r="F80" s="23">
        <f>2000+1000+1100</f>
        <v>4100</v>
      </c>
      <c r="G80" s="23">
        <v>0</v>
      </c>
      <c r="H80" s="23">
        <v>0</v>
      </c>
      <c r="I80" s="23">
        <v>17000</v>
      </c>
      <c r="J80" s="23">
        <v>75</v>
      </c>
      <c r="K80" s="23">
        <v>250</v>
      </c>
      <c r="L80" s="23">
        <v>40</v>
      </c>
      <c r="M80" s="23">
        <f>21*3080</f>
        <v>64680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</row>
    <row r="81" spans="1:73" x14ac:dyDescent="0.2">
      <c r="A81" s="23">
        <v>135</v>
      </c>
      <c r="B81" s="23">
        <v>7920</v>
      </c>
      <c r="C81" s="23">
        <v>0</v>
      </c>
      <c r="D81" s="23">
        <v>0</v>
      </c>
      <c r="E81" s="23">
        <v>45000</v>
      </c>
      <c r="F81" s="23">
        <f>2500+600+720</f>
        <v>3820</v>
      </c>
      <c r="G81" s="23">
        <v>0</v>
      </c>
      <c r="H81" s="23">
        <v>0</v>
      </c>
      <c r="I81" s="23">
        <v>31000</v>
      </c>
      <c r="J81" s="23">
        <v>0</v>
      </c>
      <c r="K81" s="23">
        <v>200</v>
      </c>
      <c r="L81" s="23">
        <v>45</v>
      </c>
      <c r="M81" s="23">
        <f>30.5*3410</f>
        <v>104005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</row>
    <row r="82" spans="1:73" x14ac:dyDescent="0.2">
      <c r="A82" s="23">
        <v>138</v>
      </c>
      <c r="B82" s="23">
        <v>3850</v>
      </c>
      <c r="C82" s="23">
        <v>0</v>
      </c>
      <c r="D82" s="23">
        <v>0</v>
      </c>
      <c r="E82" s="23">
        <v>28000</v>
      </c>
      <c r="F82" s="23">
        <f>1250+500+500+800+2500</f>
        <v>5550</v>
      </c>
      <c r="G82" s="23">
        <v>5000</v>
      </c>
      <c r="H82" s="23">
        <v>0</v>
      </c>
      <c r="I82" s="23">
        <v>20000</v>
      </c>
      <c r="J82" s="23">
        <v>0</v>
      </c>
      <c r="K82" s="23">
        <v>100</v>
      </c>
      <c r="L82" s="23">
        <v>40</v>
      </c>
      <c r="M82" s="23">
        <f>27*1320</f>
        <v>35640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</row>
    <row r="83" spans="1:73" x14ac:dyDescent="0.2">
      <c r="A83" s="29">
        <v>137</v>
      </c>
      <c r="B83" s="29">
        <v>4800</v>
      </c>
      <c r="C83" s="29">
        <v>0</v>
      </c>
      <c r="D83" s="29">
        <v>0</v>
      </c>
      <c r="E83" s="29">
        <v>36000</v>
      </c>
      <c r="F83" s="29">
        <f>1500+1000+2600</f>
        <v>5100</v>
      </c>
      <c r="G83" s="29">
        <v>0</v>
      </c>
      <c r="H83" s="29">
        <v>0</v>
      </c>
      <c r="I83" s="29">
        <v>18500</v>
      </c>
      <c r="J83" s="29">
        <v>0</v>
      </c>
      <c r="K83" s="29">
        <v>150</v>
      </c>
      <c r="L83" s="29">
        <v>40</v>
      </c>
      <c r="M83" s="29">
        <f>31*2420</f>
        <v>75020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</row>
    <row r="84" spans="1:73" s="53" customFormat="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</row>
    <row r="85" spans="1:73" x14ac:dyDescent="0.2">
      <c r="A85" s="32">
        <v>252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>
        <f>110*16</f>
        <v>1760</v>
      </c>
      <c r="O85" s="30">
        <v>4000</v>
      </c>
      <c r="P85" s="30">
        <v>0</v>
      </c>
      <c r="Q85" s="30">
        <v>0</v>
      </c>
      <c r="R85" s="30">
        <v>4500</v>
      </c>
      <c r="S85" s="30">
        <v>0</v>
      </c>
      <c r="T85" s="30">
        <v>0</v>
      </c>
      <c r="U85" s="30">
        <v>2280</v>
      </c>
      <c r="V85" s="30">
        <v>0</v>
      </c>
      <c r="W85" s="30">
        <v>565</v>
      </c>
      <c r="X85" s="30">
        <v>0</v>
      </c>
      <c r="Y85" s="30">
        <f>95*565</f>
        <v>53675</v>
      </c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 spans="1:73" x14ac:dyDescent="0.2">
      <c r="A86" s="27">
        <v>253</v>
      </c>
      <c r="B86" s="23">
        <v>1650</v>
      </c>
      <c r="C86" s="23">
        <v>3000</v>
      </c>
      <c r="D86" s="23">
        <v>6000</v>
      </c>
      <c r="E86" s="23">
        <v>0</v>
      </c>
      <c r="F86" s="23">
        <v>3000</v>
      </c>
      <c r="G86" s="23">
        <v>0</v>
      </c>
      <c r="H86" s="23">
        <v>10000</v>
      </c>
      <c r="I86" s="23">
        <v>0</v>
      </c>
      <c r="J86" s="23">
        <v>0</v>
      </c>
      <c r="K86" s="23">
        <v>30</v>
      </c>
      <c r="L86" s="23">
        <v>10</v>
      </c>
      <c r="M86" s="23">
        <f>30*700</f>
        <v>21000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</row>
    <row r="87" spans="1:73" x14ac:dyDescent="0.2">
      <c r="A87" s="27">
        <v>254</v>
      </c>
      <c r="B87" s="23">
        <v>11000</v>
      </c>
      <c r="C87" s="23">
        <v>7000</v>
      </c>
      <c r="D87" s="23">
        <v>20000</v>
      </c>
      <c r="E87" s="23">
        <v>0</v>
      </c>
      <c r="F87" s="23">
        <v>10000</v>
      </c>
      <c r="G87" s="23">
        <v>0</v>
      </c>
      <c r="H87" s="23">
        <v>40000</v>
      </c>
      <c r="I87" s="23">
        <v>0</v>
      </c>
      <c r="J87" s="23">
        <v>0</v>
      </c>
      <c r="K87" s="23">
        <v>200</v>
      </c>
      <c r="L87" s="23">
        <v>60</v>
      </c>
      <c r="M87" s="23">
        <f>30*3850</f>
        <v>115500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</row>
    <row r="88" spans="1:73" x14ac:dyDescent="0.2">
      <c r="A88" s="27">
        <v>255</v>
      </c>
      <c r="B88" s="23">
        <v>0</v>
      </c>
      <c r="C88" s="23">
        <v>0</v>
      </c>
      <c r="D88" s="23">
        <v>15000</v>
      </c>
      <c r="E88" s="23">
        <v>0</v>
      </c>
      <c r="F88" s="23">
        <v>10000</v>
      </c>
      <c r="G88" s="23">
        <v>0</v>
      </c>
      <c r="H88" s="23">
        <v>25000</v>
      </c>
      <c r="I88" s="23">
        <v>0</v>
      </c>
      <c r="J88" s="23">
        <v>0</v>
      </c>
      <c r="K88" s="23">
        <v>100</v>
      </c>
      <c r="L88" s="23">
        <v>60</v>
      </c>
      <c r="M88" s="23">
        <f>35*2000</f>
        <v>70000</v>
      </c>
      <c r="N88" s="23">
        <v>2500</v>
      </c>
      <c r="O88" s="23">
        <v>0</v>
      </c>
      <c r="P88" s="23">
        <v>10000</v>
      </c>
      <c r="Q88" s="23">
        <v>0</v>
      </c>
      <c r="R88" s="23">
        <v>15000</v>
      </c>
      <c r="S88" s="23">
        <v>0</v>
      </c>
      <c r="T88" s="23">
        <v>10000</v>
      </c>
      <c r="U88" s="23">
        <v>0</v>
      </c>
      <c r="V88" s="23">
        <v>0</v>
      </c>
      <c r="W88" s="23">
        <v>700</v>
      </c>
      <c r="X88" s="23">
        <v>0</v>
      </c>
      <c r="Y88" s="23">
        <f>95*700</f>
        <v>66500</v>
      </c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</row>
    <row r="89" spans="1:73" x14ac:dyDescent="0.2">
      <c r="A89" s="27">
        <v>256</v>
      </c>
      <c r="B89" s="23">
        <f>1700*3</f>
        <v>5100</v>
      </c>
      <c r="C89" s="23">
        <v>0</v>
      </c>
      <c r="D89" s="23">
        <v>12000</v>
      </c>
      <c r="E89" s="23">
        <v>0</v>
      </c>
      <c r="F89" s="23">
        <v>4000</v>
      </c>
      <c r="G89" s="23">
        <v>0</v>
      </c>
      <c r="H89" s="23">
        <v>15000</v>
      </c>
      <c r="I89" s="23">
        <v>0</v>
      </c>
      <c r="J89" s="23">
        <v>60</v>
      </c>
      <c r="K89" s="23">
        <v>140</v>
      </c>
      <c r="L89" s="23">
        <v>60</v>
      </c>
      <c r="M89" s="23">
        <f>28*1500</f>
        <v>42000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</row>
    <row r="90" spans="1:73" x14ac:dyDescent="0.2">
      <c r="A90" s="27">
        <v>101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>
        <v>2000</v>
      </c>
      <c r="O90" s="23">
        <v>22000</v>
      </c>
      <c r="P90" s="23">
        <v>0</v>
      </c>
      <c r="Q90" s="23">
        <v>0</v>
      </c>
      <c r="R90" s="23">
        <v>5000</v>
      </c>
      <c r="S90" s="23">
        <v>3000</v>
      </c>
      <c r="T90" s="23">
        <v>0</v>
      </c>
      <c r="U90" s="23">
        <v>5000</v>
      </c>
      <c r="V90" s="23">
        <v>0</v>
      </c>
      <c r="W90" s="23">
        <v>800</v>
      </c>
      <c r="X90" s="23">
        <v>0</v>
      </c>
      <c r="Y90" s="23">
        <f>95*800</f>
        <v>76000</v>
      </c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</row>
    <row r="91" spans="1:73" x14ac:dyDescent="0.2">
      <c r="A91" s="27">
        <v>106</v>
      </c>
      <c r="B91" s="23">
        <v>0</v>
      </c>
      <c r="C91" s="23">
        <v>0</v>
      </c>
      <c r="D91" s="23">
        <v>0</v>
      </c>
      <c r="E91" s="23">
        <v>15000</v>
      </c>
      <c r="F91" s="23">
        <v>5060</v>
      </c>
      <c r="G91" s="23">
        <v>0</v>
      </c>
      <c r="H91" s="23">
        <v>4000</v>
      </c>
      <c r="I91" s="23">
        <v>10000</v>
      </c>
      <c r="J91" s="23">
        <v>25</v>
      </c>
      <c r="K91" s="23">
        <v>80</v>
      </c>
      <c r="L91" s="23">
        <v>25</v>
      </c>
      <c r="M91" s="23">
        <f>675*30</f>
        <v>20250</v>
      </c>
      <c r="N91" s="23">
        <v>1200</v>
      </c>
      <c r="O91" s="23">
        <v>0</v>
      </c>
      <c r="P91" s="23">
        <v>0</v>
      </c>
      <c r="Q91" s="23">
        <v>0</v>
      </c>
      <c r="R91" s="23">
        <v>1000</v>
      </c>
      <c r="S91" s="23">
        <v>0</v>
      </c>
      <c r="T91" s="23">
        <v>1600</v>
      </c>
      <c r="U91" s="23">
        <v>1300</v>
      </c>
      <c r="V91" s="23">
        <v>0</v>
      </c>
      <c r="W91" s="23">
        <v>153</v>
      </c>
      <c r="X91" s="23">
        <v>0</v>
      </c>
      <c r="Y91" s="23">
        <f>80*153</f>
        <v>12240</v>
      </c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</row>
    <row r="92" spans="1:73" x14ac:dyDescent="0.2">
      <c r="A92" s="27">
        <v>107</v>
      </c>
      <c r="B92" s="23">
        <v>3000</v>
      </c>
      <c r="C92" s="23">
        <v>0</v>
      </c>
      <c r="D92" s="23">
        <v>0</v>
      </c>
      <c r="E92" s="23">
        <v>20000</v>
      </c>
      <c r="F92" s="23">
        <v>6500</v>
      </c>
      <c r="G92" s="23">
        <v>0</v>
      </c>
      <c r="H92" s="23">
        <v>0</v>
      </c>
      <c r="I92" s="23">
        <v>10000</v>
      </c>
      <c r="J92" s="23">
        <v>0</v>
      </c>
      <c r="K92" s="23">
        <v>85</v>
      </c>
      <c r="L92" s="23">
        <v>20</v>
      </c>
      <c r="M92" s="23">
        <f>65*22.5*42</f>
        <v>61425</v>
      </c>
      <c r="N92" s="23">
        <v>1400</v>
      </c>
      <c r="O92" s="23">
        <v>0</v>
      </c>
      <c r="P92" s="23">
        <v>0</v>
      </c>
      <c r="Q92" s="23">
        <v>8000</v>
      </c>
      <c r="R92" s="23">
        <v>2000</v>
      </c>
      <c r="S92" s="23">
        <v>5000</v>
      </c>
      <c r="T92" s="23">
        <v>5000</v>
      </c>
      <c r="U92" s="23">
        <v>800</v>
      </c>
      <c r="V92" s="23">
        <v>0</v>
      </c>
      <c r="W92" s="23">
        <v>500</v>
      </c>
      <c r="X92" s="23">
        <v>0</v>
      </c>
      <c r="Y92" s="23">
        <f>90*500</f>
        <v>45000</v>
      </c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</row>
    <row r="93" spans="1:73" x14ac:dyDescent="0.2">
      <c r="A93" s="27">
        <v>108</v>
      </c>
      <c r="B93" s="23">
        <v>0</v>
      </c>
      <c r="C93" s="23">
        <v>0</v>
      </c>
      <c r="D93" s="23">
        <v>0</v>
      </c>
      <c r="E93" s="23">
        <v>18000</v>
      </c>
      <c r="F93" s="23">
        <v>6000</v>
      </c>
      <c r="G93" s="23">
        <v>0</v>
      </c>
      <c r="H93" s="23">
        <v>12000</v>
      </c>
      <c r="I93" s="23">
        <v>4600</v>
      </c>
      <c r="J93" s="23">
        <v>38.5</v>
      </c>
      <c r="K93" s="23">
        <v>105</v>
      </c>
      <c r="L93" s="23">
        <v>20</v>
      </c>
      <c r="M93" s="23">
        <f>41.5*1760</f>
        <v>73040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</row>
    <row r="94" spans="1:73" x14ac:dyDescent="0.2">
      <c r="A94" s="27">
        <v>109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>
        <v>4500</v>
      </c>
      <c r="O94" s="23">
        <v>0</v>
      </c>
      <c r="P94" s="23">
        <v>5000</v>
      </c>
      <c r="Q94" s="23">
        <v>12000</v>
      </c>
      <c r="R94" s="23">
        <v>8000</v>
      </c>
      <c r="S94" s="23">
        <v>0</v>
      </c>
      <c r="T94" s="23">
        <v>12000</v>
      </c>
      <c r="U94" s="23">
        <v>6700</v>
      </c>
      <c r="V94" s="23">
        <v>0</v>
      </c>
      <c r="W94" s="23">
        <v>1784</v>
      </c>
      <c r="X94" s="23">
        <v>0</v>
      </c>
      <c r="Y94" s="23">
        <f>95*1784</f>
        <v>169480</v>
      </c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</row>
    <row r="95" spans="1:73" x14ac:dyDescent="0.2">
      <c r="A95" s="27">
        <v>1</v>
      </c>
      <c r="B95" s="23">
        <v>4000</v>
      </c>
      <c r="C95" s="23">
        <v>8000</v>
      </c>
      <c r="D95" s="23">
        <v>7500</v>
      </c>
      <c r="E95" s="23">
        <v>4000</v>
      </c>
      <c r="F95" s="23">
        <v>6000</v>
      </c>
      <c r="G95" s="23">
        <v>2000</v>
      </c>
      <c r="H95" s="23">
        <v>12850</v>
      </c>
      <c r="I95" s="23">
        <v>2750</v>
      </c>
      <c r="J95" s="23">
        <v>0</v>
      </c>
      <c r="K95" s="23">
        <v>95</v>
      </c>
      <c r="L95" s="23">
        <v>0</v>
      </c>
      <c r="M95" s="23">
        <f>35*95</f>
        <v>3325</v>
      </c>
      <c r="N95" s="23">
        <v>1750</v>
      </c>
      <c r="O95" s="23">
        <v>6000</v>
      </c>
      <c r="P95" s="23">
        <v>6000</v>
      </c>
      <c r="Q95" s="23">
        <v>0</v>
      </c>
      <c r="R95" s="23">
        <v>3000</v>
      </c>
      <c r="S95" s="23">
        <v>2000</v>
      </c>
      <c r="T95" s="23">
        <v>4700</v>
      </c>
      <c r="U95" s="23">
        <v>1750</v>
      </c>
      <c r="V95" s="23">
        <v>0</v>
      </c>
      <c r="W95" s="23">
        <v>496</v>
      </c>
      <c r="X95" s="23">
        <v>0</v>
      </c>
      <c r="Y95" s="23">
        <f>496*96</f>
        <v>47616</v>
      </c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>
        <v>5000</v>
      </c>
      <c r="AM95" s="23">
        <v>3000</v>
      </c>
      <c r="AN95" s="23">
        <v>3000</v>
      </c>
      <c r="AO95" s="23">
        <v>0</v>
      </c>
      <c r="AP95" s="23">
        <v>7000</v>
      </c>
      <c r="AQ95" s="23">
        <v>2000</v>
      </c>
      <c r="AR95" s="23">
        <v>12000</v>
      </c>
      <c r="AS95" s="23">
        <v>0</v>
      </c>
      <c r="AT95" s="23">
        <v>0</v>
      </c>
      <c r="AU95" s="23">
        <v>200</v>
      </c>
      <c r="AV95" s="23">
        <v>20</v>
      </c>
      <c r="AW95" s="23">
        <f>25*180</f>
        <v>4500</v>
      </c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</row>
    <row r="96" spans="1:73" x14ac:dyDescent="0.2">
      <c r="A96" s="27">
        <v>2</v>
      </c>
      <c r="B96" s="23">
        <v>11200</v>
      </c>
      <c r="C96" s="23">
        <v>10000</v>
      </c>
      <c r="D96" s="23">
        <v>10000</v>
      </c>
      <c r="E96" s="23">
        <v>9000</v>
      </c>
      <c r="F96" s="23">
        <v>7000</v>
      </c>
      <c r="G96" s="23">
        <v>3000</v>
      </c>
      <c r="H96" s="23">
        <v>5000</v>
      </c>
      <c r="I96" s="23">
        <v>22000</v>
      </c>
      <c r="J96" s="23">
        <v>0</v>
      </c>
      <c r="K96" s="23">
        <v>200</v>
      </c>
      <c r="L96" s="23">
        <v>10</v>
      </c>
      <c r="M96" s="23">
        <f>30*190</f>
        <v>5700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</row>
    <row r="97" spans="1:73" x14ac:dyDescent="0.2">
      <c r="A97" s="27">
        <v>3</v>
      </c>
      <c r="B97" s="23">
        <v>2900</v>
      </c>
      <c r="C97" s="23">
        <v>7000</v>
      </c>
      <c r="D97" s="23">
        <v>10500</v>
      </c>
      <c r="E97" s="23">
        <v>9000</v>
      </c>
      <c r="F97" s="23">
        <v>2000</v>
      </c>
      <c r="G97" s="23">
        <v>1000</v>
      </c>
      <c r="H97" s="23">
        <v>2000</v>
      </c>
      <c r="I97" s="23">
        <v>15000</v>
      </c>
      <c r="J97" s="23">
        <v>0</v>
      </c>
      <c r="K97" s="23">
        <v>120</v>
      </c>
      <c r="L97" s="23">
        <v>40</v>
      </c>
      <c r="M97" s="23">
        <f>80*20.5*29</f>
        <v>47560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</row>
    <row r="98" spans="1:73" x14ac:dyDescent="0.2">
      <c r="A98" s="27">
        <v>4</v>
      </c>
      <c r="B98" s="23">
        <v>0</v>
      </c>
      <c r="C98" s="23">
        <v>0</v>
      </c>
      <c r="D98" s="23">
        <v>10000</v>
      </c>
      <c r="E98" s="23">
        <v>20000</v>
      </c>
      <c r="F98" s="23">
        <v>40000</v>
      </c>
      <c r="G98" s="23">
        <v>1600</v>
      </c>
      <c r="H98" s="23">
        <v>16000</v>
      </c>
      <c r="I98" s="23">
        <v>30000</v>
      </c>
      <c r="J98" s="23">
        <v>0</v>
      </c>
      <c r="K98" s="23">
        <v>300</v>
      </c>
      <c r="L98" s="23">
        <v>30</v>
      </c>
      <c r="M98" s="23">
        <f>270*20.5*26</f>
        <v>143910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</row>
    <row r="99" spans="1:73" x14ac:dyDescent="0.2">
      <c r="A99" s="27">
        <v>5</v>
      </c>
      <c r="B99" s="23">
        <v>12500</v>
      </c>
      <c r="C99" s="23">
        <v>10000</v>
      </c>
      <c r="D99" s="23">
        <v>10000</v>
      </c>
      <c r="E99" s="23">
        <v>12500</v>
      </c>
      <c r="F99" s="23">
        <v>2000</v>
      </c>
      <c r="G99" s="23">
        <v>2000</v>
      </c>
      <c r="H99" s="23">
        <v>3000</v>
      </c>
      <c r="I99" s="23">
        <v>25000</v>
      </c>
      <c r="J99" s="23">
        <v>0</v>
      </c>
      <c r="K99" s="23">
        <v>125</v>
      </c>
      <c r="L99" s="23">
        <v>25</v>
      </c>
      <c r="M99" s="23">
        <f>20.5*100*35</f>
        <v>71750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>
        <v>3000</v>
      </c>
      <c r="AA99" s="23">
        <v>0</v>
      </c>
      <c r="AB99" s="23">
        <v>0</v>
      </c>
      <c r="AC99" s="23">
        <v>0</v>
      </c>
      <c r="AD99" s="23">
        <v>450</v>
      </c>
      <c r="AE99" s="23">
        <v>0</v>
      </c>
      <c r="AF99" s="23">
        <v>3000</v>
      </c>
      <c r="AG99" s="23">
        <v>25000</v>
      </c>
      <c r="AH99" s="23">
        <v>0</v>
      </c>
      <c r="AI99" s="23">
        <v>1000</v>
      </c>
      <c r="AJ99" s="23">
        <v>0</v>
      </c>
      <c r="AK99" s="23">
        <f>10000+13200</f>
        <v>23200</v>
      </c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</row>
    <row r="100" spans="1:73" x14ac:dyDescent="0.2">
      <c r="A100" s="27">
        <v>8</v>
      </c>
      <c r="B100" s="23">
        <v>21000</v>
      </c>
      <c r="C100" s="23">
        <v>0</v>
      </c>
      <c r="D100" s="23">
        <v>0</v>
      </c>
      <c r="E100" s="23">
        <v>26000</v>
      </c>
      <c r="F100" s="23">
        <v>0</v>
      </c>
      <c r="G100" s="23">
        <v>32000</v>
      </c>
      <c r="H100" s="23">
        <v>0</v>
      </c>
      <c r="I100" s="23">
        <v>53500</v>
      </c>
      <c r="J100" s="23">
        <v>0</v>
      </c>
      <c r="K100" s="23">
        <v>200</v>
      </c>
      <c r="L100" s="23">
        <v>25</v>
      </c>
      <c r="M100" s="23">
        <f>175*20.5*35</f>
        <v>125562.5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</row>
    <row r="101" spans="1:73" x14ac:dyDescent="0.2">
      <c r="A101" s="27">
        <v>9</v>
      </c>
      <c r="B101" s="23">
        <v>1750</v>
      </c>
      <c r="C101" s="23">
        <v>0</v>
      </c>
      <c r="D101" s="23">
        <v>0</v>
      </c>
      <c r="E101" s="23">
        <v>10000</v>
      </c>
      <c r="F101" s="23">
        <v>0</v>
      </c>
      <c r="G101" s="23">
        <v>3500</v>
      </c>
      <c r="H101" s="23">
        <v>0</v>
      </c>
      <c r="I101" s="23">
        <v>10000</v>
      </c>
      <c r="J101" s="23">
        <v>0</v>
      </c>
      <c r="K101" s="23">
        <v>125</v>
      </c>
      <c r="L101" s="23">
        <v>25</v>
      </c>
      <c r="M101" s="23">
        <f>100*20.5*35</f>
        <v>71750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</row>
    <row r="102" spans="1:73" x14ac:dyDescent="0.2">
      <c r="A102" s="27">
        <v>201</v>
      </c>
      <c r="B102" s="23">
        <v>0</v>
      </c>
      <c r="C102" s="23">
        <v>0</v>
      </c>
      <c r="D102" s="23">
        <v>0</v>
      </c>
      <c r="E102" s="23">
        <v>5000</v>
      </c>
      <c r="F102" s="23">
        <f>1800+2400</f>
        <v>4200</v>
      </c>
      <c r="G102" s="23">
        <v>0</v>
      </c>
      <c r="H102" s="23">
        <v>0</v>
      </c>
      <c r="I102" s="23">
        <v>12000</v>
      </c>
      <c r="J102" s="23">
        <v>65000</v>
      </c>
      <c r="K102" s="23">
        <v>120</v>
      </c>
      <c r="L102" s="23">
        <v>105</v>
      </c>
      <c r="M102" s="23">
        <f>20.5*15*26</f>
        <v>7995</v>
      </c>
      <c r="N102" s="23">
        <v>1200</v>
      </c>
      <c r="O102" s="23">
        <v>0</v>
      </c>
      <c r="P102" s="23">
        <v>0</v>
      </c>
      <c r="Q102" s="23">
        <v>0</v>
      </c>
      <c r="R102" s="23">
        <v>2700</v>
      </c>
      <c r="S102" s="23">
        <v>0</v>
      </c>
      <c r="T102" s="23">
        <v>0</v>
      </c>
      <c r="U102" s="23">
        <v>9000</v>
      </c>
      <c r="V102" s="23">
        <v>0</v>
      </c>
      <c r="W102" s="23">
        <v>510</v>
      </c>
      <c r="X102" s="23">
        <v>0</v>
      </c>
      <c r="Y102" s="23">
        <f>95*510</f>
        <v>48450</v>
      </c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</row>
    <row r="103" spans="1:73" x14ac:dyDescent="0.2">
      <c r="A103" s="27">
        <v>204</v>
      </c>
      <c r="B103" s="23">
        <v>0</v>
      </c>
      <c r="C103" s="23">
        <v>0</v>
      </c>
      <c r="D103" s="23">
        <v>0</v>
      </c>
      <c r="E103" s="23">
        <v>25000</v>
      </c>
      <c r="F103" s="23">
        <f>2100+1300+650+1950+4050</f>
        <v>10050</v>
      </c>
      <c r="G103" s="23">
        <v>0</v>
      </c>
      <c r="H103" s="23">
        <v>0</v>
      </c>
      <c r="I103" s="23">
        <v>14500</v>
      </c>
      <c r="J103" s="23">
        <v>0</v>
      </c>
      <c r="K103" s="23">
        <v>82</v>
      </c>
      <c r="L103" s="23">
        <v>25</v>
      </c>
      <c r="M103" s="23">
        <f>27*20.5*57</f>
        <v>31549.5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>
        <v>5150</v>
      </c>
      <c r="AA103" s="23">
        <v>0</v>
      </c>
      <c r="AB103" s="23">
        <v>0</v>
      </c>
      <c r="AC103" s="23">
        <v>7000</v>
      </c>
      <c r="AD103" s="23">
        <v>0</v>
      </c>
      <c r="AE103" s="23">
        <v>6500</v>
      </c>
      <c r="AF103" s="23">
        <v>0</v>
      </c>
      <c r="AG103" s="23">
        <v>6000</v>
      </c>
      <c r="AH103" s="23">
        <v>0</v>
      </c>
      <c r="AI103" s="23">
        <v>2300</v>
      </c>
      <c r="AJ103" s="23">
        <v>0</v>
      </c>
      <c r="AK103" s="23">
        <f>32*2300</f>
        <v>73600</v>
      </c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</row>
    <row r="104" spans="1:73" x14ac:dyDescent="0.2">
      <c r="A104" s="27">
        <v>205</v>
      </c>
      <c r="B104" s="23">
        <v>7000</v>
      </c>
      <c r="C104" s="23">
        <v>0</v>
      </c>
      <c r="D104" s="23">
        <v>0</v>
      </c>
      <c r="E104" s="23">
        <v>15000</v>
      </c>
      <c r="F104" s="23">
        <v>13500</v>
      </c>
      <c r="G104" s="23">
        <v>0</v>
      </c>
      <c r="H104" s="23">
        <v>0</v>
      </c>
      <c r="I104" s="23">
        <v>20000</v>
      </c>
      <c r="J104" s="23">
        <v>0</v>
      </c>
      <c r="K104" s="23">
        <v>200</v>
      </c>
      <c r="L104" s="23">
        <v>40</v>
      </c>
      <c r="M104" s="23">
        <f>(30*2000)+43050</f>
        <v>103050</v>
      </c>
      <c r="N104" s="23">
        <v>1000</v>
      </c>
      <c r="O104" s="23">
        <v>0</v>
      </c>
      <c r="P104" s="23">
        <v>0</v>
      </c>
      <c r="Q104" s="23">
        <v>5000</v>
      </c>
      <c r="R104" s="23">
        <v>2125</v>
      </c>
      <c r="S104" s="23">
        <v>0</v>
      </c>
      <c r="T104" s="23">
        <v>0</v>
      </c>
      <c r="U104" s="23">
        <v>5000</v>
      </c>
      <c r="V104" s="23">
        <v>0</v>
      </c>
      <c r="W104" s="23">
        <v>360</v>
      </c>
      <c r="X104" s="23">
        <v>0</v>
      </c>
      <c r="Y104" s="23">
        <f>360*90</f>
        <v>32400</v>
      </c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</row>
    <row r="105" spans="1:73" x14ac:dyDescent="0.2">
      <c r="A105" s="27">
        <v>320</v>
      </c>
      <c r="B105" s="23">
        <f>18*1700</f>
        <v>30600</v>
      </c>
      <c r="C105" s="23"/>
      <c r="D105" s="23"/>
      <c r="E105" s="23">
        <f>20000+20000+18000+42000</f>
        <v>100000</v>
      </c>
      <c r="F105" s="23">
        <f>8960+(1250*6)</f>
        <v>16460</v>
      </c>
      <c r="G105" s="23">
        <v>0</v>
      </c>
      <c r="H105" s="23">
        <v>0</v>
      </c>
      <c r="I105" s="23">
        <v>68000</v>
      </c>
      <c r="J105" s="23">
        <v>0</v>
      </c>
      <c r="K105" s="23">
        <v>600</v>
      </c>
      <c r="L105" s="23">
        <v>350</v>
      </c>
      <c r="M105" s="23">
        <f>(30*2500)+68750</f>
        <v>143750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</row>
    <row r="106" spans="1:73" x14ac:dyDescent="0.2">
      <c r="A106" s="27">
        <v>226</v>
      </c>
      <c r="B106" s="23">
        <v>4500</v>
      </c>
      <c r="C106" s="23">
        <v>0</v>
      </c>
      <c r="D106" s="23">
        <v>0</v>
      </c>
      <c r="E106" s="23">
        <f>3000+4000+2000+3000</f>
        <v>12000</v>
      </c>
      <c r="F106" s="23">
        <f>1700+2500+700+3000</f>
        <v>7900</v>
      </c>
      <c r="G106" s="23">
        <v>0</v>
      </c>
      <c r="H106" s="23">
        <v>0</v>
      </c>
      <c r="I106" s="23">
        <f>10000+1000</f>
        <v>11000</v>
      </c>
      <c r="J106" s="23">
        <v>25</v>
      </c>
      <c r="K106" s="23">
        <v>110</v>
      </c>
      <c r="L106" s="23">
        <v>20</v>
      </c>
      <c r="M106" s="23">
        <v>70000</v>
      </c>
      <c r="N106" s="23">
        <v>2000</v>
      </c>
      <c r="O106" s="23">
        <v>0</v>
      </c>
      <c r="P106" s="23">
        <v>0</v>
      </c>
      <c r="Q106" s="23">
        <f>10000+12000+3000</f>
        <v>25000</v>
      </c>
      <c r="R106" s="23">
        <f>1550+1300+4500</f>
        <v>7350</v>
      </c>
      <c r="S106" s="23">
        <v>0</v>
      </c>
      <c r="T106" s="23">
        <v>0</v>
      </c>
      <c r="U106" s="23">
        <f>5000+6000</f>
        <v>11000</v>
      </c>
      <c r="V106" s="23">
        <v>0</v>
      </c>
      <c r="W106" s="23">
        <v>1000</v>
      </c>
      <c r="X106" s="23">
        <v>0</v>
      </c>
      <c r="Y106" s="23">
        <v>90000</v>
      </c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</row>
    <row r="107" spans="1:73" x14ac:dyDescent="0.2">
      <c r="A107" s="27">
        <v>314</v>
      </c>
      <c r="B107" s="23">
        <f>1600*5.5</f>
        <v>8800</v>
      </c>
      <c r="C107" s="23">
        <v>0</v>
      </c>
      <c r="D107" s="23">
        <v>0</v>
      </c>
      <c r="E107" s="23">
        <f>5000+4000+7000+16000</f>
        <v>32000</v>
      </c>
      <c r="F107" s="23">
        <f>6800+900</f>
        <v>7700</v>
      </c>
      <c r="G107" s="23">
        <v>0</v>
      </c>
      <c r="H107" s="23">
        <v>0</v>
      </c>
      <c r="I107" s="23">
        <f>25000</f>
        <v>25000</v>
      </c>
      <c r="J107" s="23">
        <v>0</v>
      </c>
      <c r="K107" s="23">
        <v>150</v>
      </c>
      <c r="L107" s="23">
        <v>50</v>
      </c>
      <c r="M107" s="23">
        <f>30*100*20.5</f>
        <v>61500</v>
      </c>
      <c r="N107" s="23">
        <f>20*150</f>
        <v>3000</v>
      </c>
      <c r="O107" s="23">
        <v>0</v>
      </c>
      <c r="P107" s="23">
        <v>0</v>
      </c>
      <c r="Q107" s="23">
        <f>8000+4000+5000</f>
        <v>17000</v>
      </c>
      <c r="R107" s="23">
        <f>3100+2500</f>
        <v>5600</v>
      </c>
      <c r="S107" s="23">
        <v>8000</v>
      </c>
      <c r="T107" s="23">
        <v>0</v>
      </c>
      <c r="U107" s="23">
        <f>8000+3500</f>
        <v>11500</v>
      </c>
      <c r="V107" s="23">
        <v>0</v>
      </c>
      <c r="W107" s="23">
        <v>500</v>
      </c>
      <c r="X107" s="23">
        <v>0</v>
      </c>
      <c r="Y107" s="23">
        <f>85*500</f>
        <v>42500</v>
      </c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</row>
    <row r="108" spans="1:73" x14ac:dyDescent="0.2">
      <c r="A108" s="27">
        <v>321</v>
      </c>
      <c r="B108" s="23">
        <v>2400</v>
      </c>
      <c r="C108" s="23">
        <v>0</v>
      </c>
      <c r="D108" s="23">
        <v>0</v>
      </c>
      <c r="E108" s="23">
        <f>5000+4000+4000+8500</f>
        <v>21500</v>
      </c>
      <c r="F108" s="23">
        <f>2550+1200</f>
        <v>3750</v>
      </c>
      <c r="G108" s="23">
        <v>0</v>
      </c>
      <c r="H108" s="23">
        <v>0</v>
      </c>
      <c r="I108" s="23">
        <v>11000</v>
      </c>
      <c r="J108" s="23">
        <v>0</v>
      </c>
      <c r="K108" s="23">
        <v>80</v>
      </c>
      <c r="L108" s="23">
        <v>80</v>
      </c>
      <c r="M108" s="23">
        <v>0</v>
      </c>
      <c r="N108" s="23">
        <v>4000</v>
      </c>
      <c r="O108" s="23">
        <v>0</v>
      </c>
      <c r="P108" s="23">
        <v>0</v>
      </c>
      <c r="Q108" s="23">
        <v>13000</v>
      </c>
      <c r="R108" s="23">
        <f>6975+800+4000</f>
        <v>11775</v>
      </c>
      <c r="S108" s="23">
        <v>13500</v>
      </c>
      <c r="T108" s="23">
        <v>0</v>
      </c>
      <c r="U108" s="23">
        <f>10000+1000+5250</f>
        <v>16250</v>
      </c>
      <c r="V108" s="23">
        <v>0</v>
      </c>
      <c r="W108" s="23">
        <v>1600</v>
      </c>
      <c r="X108" s="23">
        <v>0</v>
      </c>
      <c r="Y108" s="23">
        <f>1600*95</f>
        <v>152000</v>
      </c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</row>
    <row r="109" spans="1:73" x14ac:dyDescent="0.2">
      <c r="A109" s="27">
        <v>315</v>
      </c>
      <c r="B109" s="23">
        <f>1550*6</f>
        <v>9300</v>
      </c>
      <c r="C109" s="23">
        <v>0</v>
      </c>
      <c r="D109" s="23">
        <v>0</v>
      </c>
      <c r="E109" s="23">
        <f>12000</f>
        <v>12000</v>
      </c>
      <c r="F109" s="23">
        <f>1700*3</f>
        <v>5100</v>
      </c>
      <c r="G109" s="23">
        <v>0</v>
      </c>
      <c r="H109" s="23">
        <v>0</v>
      </c>
      <c r="I109" s="23">
        <f>17500</f>
        <v>17500</v>
      </c>
      <c r="J109" s="23">
        <v>0</v>
      </c>
      <c r="K109" s="23">
        <v>160</v>
      </c>
      <c r="L109" s="23">
        <v>25</v>
      </c>
      <c r="M109" s="23">
        <f>2300*27</f>
        <v>62100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>
        <v>15400</v>
      </c>
      <c r="AY109" s="23">
        <v>0</v>
      </c>
      <c r="AZ109" s="23">
        <v>17000</v>
      </c>
      <c r="BA109" s="23">
        <v>0</v>
      </c>
      <c r="BB109" s="23">
        <v>18600</v>
      </c>
      <c r="BC109" s="23">
        <v>0</v>
      </c>
      <c r="BD109" s="23">
        <v>0</v>
      </c>
      <c r="BE109" s="23">
        <v>4000</v>
      </c>
      <c r="BF109" s="23">
        <v>0</v>
      </c>
      <c r="BG109" s="23">
        <v>0</v>
      </c>
      <c r="BH109" s="23">
        <v>0</v>
      </c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</row>
    <row r="110" spans="1:73" x14ac:dyDescent="0.2">
      <c r="A110" s="27">
        <v>227</v>
      </c>
      <c r="B110" s="23">
        <v>0</v>
      </c>
      <c r="C110" s="23">
        <v>0</v>
      </c>
      <c r="D110" s="23">
        <v>0</v>
      </c>
      <c r="E110" s="23">
        <f>31500</f>
        <v>31500</v>
      </c>
      <c r="F110" s="23">
        <f>1312.5+472.5+367.5+3600+(800*3.5)+10500</f>
        <v>19052.5</v>
      </c>
      <c r="G110" s="23">
        <v>0</v>
      </c>
      <c r="H110" s="23">
        <v>0</v>
      </c>
      <c r="I110" s="23">
        <f>35000+2000</f>
        <v>37000</v>
      </c>
      <c r="J110" s="23">
        <v>50</v>
      </c>
      <c r="K110" s="23">
        <v>350</v>
      </c>
      <c r="L110" s="23">
        <v>30</v>
      </c>
      <c r="M110" s="23">
        <v>150000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</row>
    <row r="111" spans="1:73" x14ac:dyDescent="0.2">
      <c r="A111" s="27">
        <v>228</v>
      </c>
      <c r="B111" s="23">
        <f>1750*3</f>
        <v>5250</v>
      </c>
      <c r="C111" s="23">
        <v>0</v>
      </c>
      <c r="D111" s="23">
        <v>0</v>
      </c>
      <c r="E111" s="23">
        <f>13500+4000</f>
        <v>17500</v>
      </c>
      <c r="F111" s="23">
        <f>2200+2200</f>
        <v>4400</v>
      </c>
      <c r="G111" s="23">
        <v>0</v>
      </c>
      <c r="H111" s="23">
        <v>0</v>
      </c>
      <c r="I111" s="23">
        <f>5200+2000</f>
        <v>7200</v>
      </c>
      <c r="J111" s="23">
        <v>25</v>
      </c>
      <c r="K111" s="23">
        <v>110</v>
      </c>
      <c r="L111" s="23">
        <v>25</v>
      </c>
      <c r="M111" s="23">
        <f>35*20.5*60</f>
        <v>43050</v>
      </c>
      <c r="N111" s="23">
        <v>3400</v>
      </c>
      <c r="O111" s="23">
        <v>0</v>
      </c>
      <c r="P111" s="23">
        <v>0</v>
      </c>
      <c r="Q111" s="23">
        <f>9000+4000</f>
        <v>13000</v>
      </c>
      <c r="R111" s="23">
        <f>1600+7600</f>
        <v>9200</v>
      </c>
      <c r="S111" s="23">
        <v>0</v>
      </c>
      <c r="T111" s="23">
        <v>0</v>
      </c>
      <c r="U111" s="23">
        <f>3500+8000</f>
        <v>11500</v>
      </c>
      <c r="V111" s="23">
        <v>0</v>
      </c>
      <c r="W111" s="23">
        <v>700</v>
      </c>
      <c r="X111" s="23">
        <v>0</v>
      </c>
      <c r="Y111" s="23">
        <f>95*700</f>
        <v>66500</v>
      </c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</row>
    <row r="112" spans="1:73" x14ac:dyDescent="0.2">
      <c r="A112" s="27">
        <v>251</v>
      </c>
      <c r="B112" s="23">
        <v>5400</v>
      </c>
      <c r="C112" s="23">
        <v>5000</v>
      </c>
      <c r="D112" s="23">
        <v>0</v>
      </c>
      <c r="E112" s="23">
        <v>14000</v>
      </c>
      <c r="F112" s="23">
        <v>8000</v>
      </c>
      <c r="G112" s="23"/>
      <c r="H112" s="23">
        <v>15000</v>
      </c>
      <c r="I112" s="23">
        <v>4000</v>
      </c>
      <c r="J112" s="23">
        <v>0</v>
      </c>
      <c r="K112" s="23">
        <v>100</v>
      </c>
      <c r="L112" s="23">
        <v>50</v>
      </c>
      <c r="M112" s="23">
        <v>30000</v>
      </c>
      <c r="N112" s="23">
        <v>5000</v>
      </c>
      <c r="O112" s="23">
        <v>15000</v>
      </c>
      <c r="P112" s="23">
        <v>15000</v>
      </c>
      <c r="Q112" s="23"/>
      <c r="R112" s="23">
        <v>30000</v>
      </c>
      <c r="S112" s="23"/>
      <c r="T112" s="23">
        <v>35000</v>
      </c>
      <c r="U112" s="23"/>
      <c r="V112" s="23"/>
      <c r="W112" s="23">
        <v>1800</v>
      </c>
      <c r="X112" s="23">
        <v>0</v>
      </c>
      <c r="Y112" s="23">
        <v>171000</v>
      </c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>
        <v>4000</v>
      </c>
      <c r="BO112" s="23"/>
      <c r="BP112" s="23"/>
      <c r="BQ112" s="23"/>
      <c r="BR112" s="23"/>
      <c r="BS112" s="23">
        <v>1000</v>
      </c>
      <c r="BT112" s="23"/>
      <c r="BU112" s="23">
        <v>60000</v>
      </c>
    </row>
    <row r="113" spans="1:73" x14ac:dyDescent="0.2">
      <c r="A113" s="27">
        <v>102</v>
      </c>
      <c r="B113" s="23">
        <v>5200</v>
      </c>
      <c r="C113" s="23">
        <v>0</v>
      </c>
      <c r="D113" s="23">
        <v>0</v>
      </c>
      <c r="E113" s="23">
        <v>50000</v>
      </c>
      <c r="F113" s="23">
        <v>20000</v>
      </c>
      <c r="G113" s="23">
        <v>0</v>
      </c>
      <c r="H113" s="23">
        <v>0</v>
      </c>
      <c r="I113" s="23">
        <v>40000</v>
      </c>
      <c r="J113" s="23">
        <v>0</v>
      </c>
      <c r="K113" s="23">
        <v>480</v>
      </c>
      <c r="L113" s="23">
        <v>60</v>
      </c>
      <c r="M113" s="23">
        <v>88500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</row>
    <row r="114" spans="1:73" x14ac:dyDescent="0.2">
      <c r="A114" s="27">
        <v>104</v>
      </c>
      <c r="B114" s="23">
        <v>9000</v>
      </c>
      <c r="C114" s="23">
        <v>0</v>
      </c>
      <c r="D114" s="23">
        <v>0</v>
      </c>
      <c r="E114" s="23">
        <v>32000</v>
      </c>
      <c r="F114" s="23">
        <v>12000</v>
      </c>
      <c r="G114" s="23">
        <v>0</v>
      </c>
      <c r="H114" s="23">
        <v>0</v>
      </c>
      <c r="I114" s="23">
        <v>40000</v>
      </c>
      <c r="J114" s="23">
        <v>0</v>
      </c>
      <c r="K114" s="23">
        <v>300</v>
      </c>
      <c r="L114" s="23">
        <v>75</v>
      </c>
      <c r="M114" s="23">
        <v>128250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</row>
    <row r="115" spans="1:73" x14ac:dyDescent="0.2">
      <c r="A115" s="27">
        <v>105</v>
      </c>
      <c r="B115" s="23">
        <v>15000</v>
      </c>
      <c r="C115" s="23">
        <v>0</v>
      </c>
      <c r="D115" s="23">
        <v>0</v>
      </c>
      <c r="E115" s="23">
        <v>40000</v>
      </c>
      <c r="F115" s="23">
        <v>15000</v>
      </c>
      <c r="G115" s="23">
        <v>0</v>
      </c>
      <c r="H115" s="23">
        <v>0</v>
      </c>
      <c r="I115" s="23">
        <v>30000</v>
      </c>
      <c r="J115" s="23">
        <v>0</v>
      </c>
      <c r="K115" s="23">
        <v>200</v>
      </c>
      <c r="L115" s="23">
        <v>25</v>
      </c>
      <c r="M115" s="23">
        <v>113400</v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</row>
    <row r="116" spans="1:73" x14ac:dyDescent="0.2">
      <c r="A116" s="27">
        <v>6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>
        <v>32000</v>
      </c>
      <c r="AM116" s="23">
        <v>20000</v>
      </c>
      <c r="AN116" s="23">
        <v>5000</v>
      </c>
      <c r="AO116" s="23">
        <v>8000</v>
      </c>
      <c r="AP116" s="23">
        <v>1500</v>
      </c>
      <c r="AQ116" s="23">
        <v>0</v>
      </c>
      <c r="AR116" s="23">
        <v>6000</v>
      </c>
      <c r="AS116" s="23">
        <v>0</v>
      </c>
      <c r="AT116" s="23">
        <v>0</v>
      </c>
      <c r="AU116" s="23">
        <v>25000</v>
      </c>
      <c r="AV116" s="23">
        <v>15</v>
      </c>
      <c r="AW116" s="23">
        <v>223650</v>
      </c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</row>
    <row r="117" spans="1:73" x14ac:dyDescent="0.2">
      <c r="A117" s="27">
        <v>202</v>
      </c>
      <c r="B117" s="23">
        <v>1800</v>
      </c>
      <c r="C117" s="23">
        <v>0</v>
      </c>
      <c r="D117" s="23">
        <v>0</v>
      </c>
      <c r="E117" s="23">
        <v>4500</v>
      </c>
      <c r="F117" s="23">
        <v>3150</v>
      </c>
      <c r="G117" s="23">
        <v>0</v>
      </c>
      <c r="H117" s="23">
        <v>0</v>
      </c>
      <c r="I117" s="23">
        <v>15000</v>
      </c>
      <c r="J117" s="23">
        <v>0</v>
      </c>
      <c r="K117" s="23">
        <v>50</v>
      </c>
      <c r="L117" s="23">
        <v>30</v>
      </c>
      <c r="M117" s="23">
        <v>12300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</row>
    <row r="118" spans="1:73" x14ac:dyDescent="0.2">
      <c r="A118" s="28">
        <v>203</v>
      </c>
      <c r="B118" s="29">
        <v>9000</v>
      </c>
      <c r="C118" s="29">
        <v>0</v>
      </c>
      <c r="D118" s="29">
        <v>0</v>
      </c>
      <c r="E118" s="29">
        <v>16000</v>
      </c>
      <c r="F118" s="29">
        <v>10000</v>
      </c>
      <c r="G118" s="29">
        <v>0</v>
      </c>
      <c r="H118" s="29">
        <v>0</v>
      </c>
      <c r="I118" s="29">
        <v>40000</v>
      </c>
      <c r="J118" s="29">
        <v>0</v>
      </c>
      <c r="K118" s="29">
        <v>175</v>
      </c>
      <c r="L118" s="29">
        <v>25</v>
      </c>
      <c r="M118" s="29">
        <f>52480+14350+35875</f>
        <v>102705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>
        <v>8400</v>
      </c>
      <c r="AY118" s="29">
        <v>0</v>
      </c>
      <c r="AZ118" s="29">
        <v>0</v>
      </c>
      <c r="BA118" s="29">
        <v>8000</v>
      </c>
      <c r="BB118" s="29">
        <v>1200</v>
      </c>
      <c r="BC118" s="29">
        <v>0</v>
      </c>
      <c r="BD118" s="29">
        <v>0</v>
      </c>
      <c r="BE118" s="29">
        <v>0</v>
      </c>
      <c r="BF118" s="29">
        <v>6000</v>
      </c>
      <c r="BG118" s="29">
        <v>2250</v>
      </c>
      <c r="BH118" s="29">
        <v>0</v>
      </c>
      <c r="BI118" s="29">
        <v>11250</v>
      </c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</row>
    <row r="119" spans="1:73" s="53" customFormat="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</row>
    <row r="120" spans="1:73" x14ac:dyDescent="0.2">
      <c r="A120" s="32">
        <v>7</v>
      </c>
      <c r="B120" s="30">
        <v>6000</v>
      </c>
      <c r="C120" s="30">
        <v>0</v>
      </c>
      <c r="D120" s="30">
        <v>0</v>
      </c>
      <c r="E120" s="30">
        <v>15000</v>
      </c>
      <c r="F120" s="30">
        <v>0</v>
      </c>
      <c r="G120" s="30">
        <v>6000</v>
      </c>
      <c r="H120" s="30">
        <v>0</v>
      </c>
      <c r="I120" s="30">
        <v>15000</v>
      </c>
      <c r="J120" s="30">
        <v>20</v>
      </c>
      <c r="K120" s="30">
        <v>150</v>
      </c>
      <c r="L120" s="30">
        <v>15</v>
      </c>
      <c r="M120" s="30">
        <v>82512.5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 spans="1:73" x14ac:dyDescent="0.2">
      <c r="A121" s="23">
        <v>144</v>
      </c>
      <c r="B121" s="23">
        <v>3600</v>
      </c>
      <c r="C121" s="23">
        <v>0</v>
      </c>
      <c r="D121" s="23">
        <v>0</v>
      </c>
      <c r="E121" s="23">
        <f>4000+4000+3000+9000</f>
        <v>20000</v>
      </c>
      <c r="F121" s="23">
        <f>4190+1600+3000</f>
        <v>8790</v>
      </c>
      <c r="G121" s="23">
        <v>0</v>
      </c>
      <c r="H121" s="23">
        <v>0</v>
      </c>
      <c r="I121" s="23">
        <v>10700</v>
      </c>
      <c r="J121" s="23">
        <v>0</v>
      </c>
      <c r="K121" s="23">
        <v>70</v>
      </c>
      <c r="L121" s="23">
        <v>10</v>
      </c>
      <c r="M121" s="23">
        <f>60*1320</f>
        <v>79200</v>
      </c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</row>
    <row r="122" spans="1:73" x14ac:dyDescent="0.2">
      <c r="A122" s="23">
        <v>261</v>
      </c>
      <c r="B122" s="23">
        <v>2400</v>
      </c>
      <c r="C122" s="23">
        <v>0</v>
      </c>
      <c r="D122" s="23">
        <v>0</v>
      </c>
      <c r="E122" s="23">
        <v>12000</v>
      </c>
      <c r="F122" s="23">
        <f>((56+20+15)*10)+1200+850</f>
        <v>2960</v>
      </c>
      <c r="G122" s="23">
        <v>0</v>
      </c>
      <c r="H122" s="23">
        <v>0</v>
      </c>
      <c r="I122" s="23">
        <f>2800+6000</f>
        <v>8800</v>
      </c>
      <c r="J122" s="23">
        <v>0</v>
      </c>
      <c r="K122" s="23">
        <v>90</v>
      </c>
      <c r="L122" s="23">
        <v>55</v>
      </c>
      <c r="M122" s="23">
        <f>34*700</f>
        <v>23800</v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>
        <v>550</v>
      </c>
      <c r="BK122" s="23">
        <v>0</v>
      </c>
      <c r="BL122" s="23">
        <v>0</v>
      </c>
      <c r="BM122" s="23">
        <v>0</v>
      </c>
      <c r="BN122" s="23">
        <v>5000</v>
      </c>
      <c r="BO122" s="23">
        <v>0</v>
      </c>
      <c r="BP122" s="23">
        <v>1800</v>
      </c>
      <c r="BQ122" s="23">
        <v>0</v>
      </c>
      <c r="BR122" s="23">
        <v>0</v>
      </c>
      <c r="BS122" s="23">
        <v>700</v>
      </c>
      <c r="BT122" s="23">
        <v>12</v>
      </c>
      <c r="BU122" s="23">
        <f>40*550</f>
        <v>22000</v>
      </c>
    </row>
    <row r="123" spans="1:73" x14ac:dyDescent="0.2">
      <c r="A123" s="23">
        <v>208</v>
      </c>
      <c r="B123" s="23">
        <v>13000</v>
      </c>
      <c r="C123" s="23">
        <v>0</v>
      </c>
      <c r="D123" s="23">
        <v>0</v>
      </c>
      <c r="E123" s="23">
        <f>10000+5000+8000</f>
        <v>23000</v>
      </c>
      <c r="F123" s="23">
        <f>8000+4000+2000</f>
        <v>14000</v>
      </c>
      <c r="G123" s="23">
        <v>0</v>
      </c>
      <c r="H123" s="23">
        <v>0</v>
      </c>
      <c r="I123" s="23">
        <v>26500</v>
      </c>
      <c r="J123" s="23">
        <v>0</v>
      </c>
      <c r="K123" s="23">
        <v>350</v>
      </c>
      <c r="L123" s="23">
        <v>50</v>
      </c>
      <c r="M123" s="23">
        <f>(28*1500)+45000+107625</f>
        <v>194625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>
        <v>5000</v>
      </c>
      <c r="AA123" s="23">
        <v>0</v>
      </c>
      <c r="AB123" s="23">
        <v>0</v>
      </c>
      <c r="AC123" s="23">
        <v>5000</v>
      </c>
      <c r="AD123" s="23">
        <v>9200</v>
      </c>
      <c r="AE123" s="23">
        <v>0</v>
      </c>
      <c r="AF123" s="23">
        <v>0</v>
      </c>
      <c r="AG123" s="23">
        <v>7000</v>
      </c>
      <c r="AH123" s="23">
        <v>0</v>
      </c>
      <c r="AI123" s="23">
        <v>4000</v>
      </c>
      <c r="AJ123" s="23">
        <v>0</v>
      </c>
      <c r="AK123" s="23">
        <f>40*4000</f>
        <v>160000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</row>
    <row r="124" spans="1:73" x14ac:dyDescent="0.2">
      <c r="A124" s="23">
        <v>44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>
        <v>2500</v>
      </c>
      <c r="O124" s="23">
        <v>0</v>
      </c>
      <c r="P124" s="23">
        <v>0</v>
      </c>
      <c r="Q124" s="23">
        <f>4000+4000+8000+7000</f>
        <v>23000</v>
      </c>
      <c r="R124" s="23">
        <f>1050+350+350+2580</f>
        <v>4330</v>
      </c>
      <c r="S124" s="23">
        <v>8000</v>
      </c>
      <c r="T124" s="23">
        <v>0</v>
      </c>
      <c r="U124" s="23">
        <f>2600+8000+600</f>
        <v>11200</v>
      </c>
      <c r="V124" s="23">
        <v>0</v>
      </c>
      <c r="W124" s="23">
        <v>1000</v>
      </c>
      <c r="X124" s="23">
        <v>0</v>
      </c>
      <c r="Y124" s="23">
        <f>95*1000</f>
        <v>95000</v>
      </c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</row>
    <row r="125" spans="1:73" x14ac:dyDescent="0.2">
      <c r="A125" s="23">
        <v>209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>
        <f>22*120</f>
        <v>2640</v>
      </c>
      <c r="O125" s="23">
        <v>0</v>
      </c>
      <c r="P125" s="23">
        <v>0</v>
      </c>
      <c r="Q125" s="23">
        <f>9000+8000</f>
        <v>17000</v>
      </c>
      <c r="R125" s="23">
        <v>6500</v>
      </c>
      <c r="S125" s="23">
        <v>12000</v>
      </c>
      <c r="T125" s="23">
        <v>0</v>
      </c>
      <c r="U125" s="23">
        <f>3500+700</f>
        <v>4200</v>
      </c>
      <c r="V125" s="23">
        <v>0</v>
      </c>
      <c r="W125" s="23">
        <v>1200</v>
      </c>
      <c r="X125" s="23">
        <v>6</v>
      </c>
      <c r="Y125" s="23">
        <f>95*1194</f>
        <v>113430</v>
      </c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</row>
    <row r="126" spans="1:73" x14ac:dyDescent="0.2">
      <c r="A126" s="23">
        <v>45</v>
      </c>
      <c r="B126" s="23">
        <v>4200</v>
      </c>
      <c r="C126" s="23">
        <v>0</v>
      </c>
      <c r="D126" s="23">
        <v>0</v>
      </c>
      <c r="E126" s="23">
        <f>12000+24000</f>
        <v>36000</v>
      </c>
      <c r="F126" s="23">
        <f>((300+75+75)*10)+2000+3500</f>
        <v>10000</v>
      </c>
      <c r="G126" s="23">
        <v>0</v>
      </c>
      <c r="H126" s="23">
        <v>0</v>
      </c>
      <c r="I126" s="23">
        <v>10000</v>
      </c>
      <c r="J126" s="23">
        <v>0</v>
      </c>
      <c r="K126" s="23">
        <v>35</v>
      </c>
      <c r="L126" s="23">
        <v>35</v>
      </c>
      <c r="M126" s="23">
        <v>0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</row>
    <row r="127" spans="1:73" x14ac:dyDescent="0.2">
      <c r="A127" s="23">
        <v>210</v>
      </c>
      <c r="B127" s="23">
        <v>0</v>
      </c>
      <c r="C127" s="23">
        <v>0</v>
      </c>
      <c r="D127" s="23">
        <v>0</v>
      </c>
      <c r="E127" s="23">
        <v>4000</v>
      </c>
      <c r="F127" s="23">
        <f>((86+20+22)*10)+1280+240+540</f>
        <v>3340</v>
      </c>
      <c r="G127" s="23">
        <v>0</v>
      </c>
      <c r="H127" s="23">
        <v>0</v>
      </c>
      <c r="I127" s="23">
        <f>18000+5000+1160</f>
        <v>24160</v>
      </c>
      <c r="J127" s="23">
        <v>25</v>
      </c>
      <c r="K127" s="23">
        <v>110</v>
      </c>
      <c r="L127" s="23">
        <v>30</v>
      </c>
      <c r="M127" s="23">
        <f>(27*825)+17820</f>
        <v>40095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</row>
    <row r="128" spans="1:73" x14ac:dyDescent="0.2">
      <c r="A128" s="23">
        <v>211</v>
      </c>
      <c r="B128" s="23">
        <v>6000</v>
      </c>
      <c r="C128" s="23">
        <v>0</v>
      </c>
      <c r="D128" s="23">
        <v>0</v>
      </c>
      <c r="E128" s="23">
        <v>9000</v>
      </c>
      <c r="F128" s="23">
        <f>3800+3500</f>
        <v>7300</v>
      </c>
      <c r="G128" s="23">
        <v>1500</v>
      </c>
      <c r="H128" s="23">
        <v>0</v>
      </c>
      <c r="I128" s="23">
        <v>9300</v>
      </c>
      <c r="J128" s="23">
        <v>0</v>
      </c>
      <c r="K128" s="23">
        <v>150</v>
      </c>
      <c r="L128" s="23">
        <v>50</v>
      </c>
      <c r="M128" s="23">
        <f>30*20.5*100</f>
        <v>61500</v>
      </c>
      <c r="N128" s="23">
        <v>1300</v>
      </c>
      <c r="O128" s="23">
        <v>0</v>
      </c>
      <c r="P128" s="23">
        <v>0</v>
      </c>
      <c r="Q128" s="23">
        <v>20000</v>
      </c>
      <c r="R128" s="23">
        <f>1500+1350</f>
        <v>2850</v>
      </c>
      <c r="S128" s="23">
        <v>0</v>
      </c>
      <c r="T128" s="23">
        <v>0</v>
      </c>
      <c r="U128" s="23">
        <v>2950</v>
      </c>
      <c r="V128" s="23">
        <v>0</v>
      </c>
      <c r="W128" s="23">
        <v>475</v>
      </c>
      <c r="X128" s="23">
        <v>0</v>
      </c>
      <c r="Y128" s="23">
        <f>96*475</f>
        <v>45600</v>
      </c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</row>
    <row r="129" spans="1:73" x14ac:dyDescent="0.2">
      <c r="A129" s="23">
        <v>212</v>
      </c>
      <c r="B129" s="23">
        <v>4200</v>
      </c>
      <c r="C129" s="23">
        <v>0</v>
      </c>
      <c r="D129" s="23">
        <v>0</v>
      </c>
      <c r="E129" s="23">
        <f>6000+3000+1000</f>
        <v>10000</v>
      </c>
      <c r="F129" s="23">
        <f>2000+4000</f>
        <v>6000</v>
      </c>
      <c r="G129" s="23">
        <v>1000</v>
      </c>
      <c r="H129" s="23">
        <v>0</v>
      </c>
      <c r="I129" s="23">
        <v>13000</v>
      </c>
      <c r="J129" s="23">
        <v>0</v>
      </c>
      <c r="K129" s="23">
        <v>100</v>
      </c>
      <c r="L129" s="23">
        <v>50</v>
      </c>
      <c r="M129" s="23">
        <f>35*1100</f>
        <v>38500</v>
      </c>
      <c r="N129" s="23">
        <v>0</v>
      </c>
      <c r="O129" s="23">
        <v>0</v>
      </c>
      <c r="P129" s="23">
        <v>0</v>
      </c>
      <c r="Q129" s="23">
        <f>8000+2000+6000</f>
        <v>16000</v>
      </c>
      <c r="R129" s="23">
        <f>5600</f>
        <v>5600</v>
      </c>
      <c r="S129" s="23">
        <v>1000</v>
      </c>
      <c r="T129" s="23">
        <v>0</v>
      </c>
      <c r="U129" s="23">
        <f>50000+9000</f>
        <v>59000</v>
      </c>
      <c r="V129" s="23">
        <v>0</v>
      </c>
      <c r="W129" s="23">
        <v>1823</v>
      </c>
      <c r="X129" s="23">
        <v>0</v>
      </c>
      <c r="Y129" s="23">
        <f>95*1823</f>
        <v>173185</v>
      </c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</row>
    <row r="130" spans="1:73" x14ac:dyDescent="0.2">
      <c r="A130" s="23">
        <v>145</v>
      </c>
      <c r="B130" s="23">
        <v>3000</v>
      </c>
      <c r="C130" s="23">
        <v>0</v>
      </c>
      <c r="D130" s="23">
        <v>0</v>
      </c>
      <c r="E130" s="23">
        <f>8000+8000+5000+12000</f>
        <v>33000</v>
      </c>
      <c r="F130" s="23">
        <f>((75+50+50)*10)+1200+3500+4000</f>
        <v>10450</v>
      </c>
      <c r="G130" s="23">
        <v>0</v>
      </c>
      <c r="H130" s="23">
        <v>0</v>
      </c>
      <c r="I130" s="23">
        <f>12500+1000</f>
        <v>13500</v>
      </c>
      <c r="J130" s="23">
        <v>0</v>
      </c>
      <c r="K130" s="23">
        <v>75</v>
      </c>
      <c r="L130" s="23">
        <v>10</v>
      </c>
      <c r="M130" s="23">
        <f>43*1430</f>
        <v>61490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</row>
    <row r="131" spans="1:73" x14ac:dyDescent="0.2">
      <c r="A131" s="23">
        <v>46</v>
      </c>
      <c r="B131" s="23">
        <v>2400</v>
      </c>
      <c r="C131" s="23">
        <v>0</v>
      </c>
      <c r="D131" s="23">
        <v>0</v>
      </c>
      <c r="E131" s="23">
        <f>4000+4000+7000+9000</f>
        <v>24000</v>
      </c>
      <c r="F131" s="23">
        <f>((200+45+45)*10)+2000+3000</f>
        <v>7900</v>
      </c>
      <c r="G131" s="23">
        <v>1000</v>
      </c>
      <c r="H131" s="23">
        <v>0</v>
      </c>
      <c r="I131" s="23">
        <v>16000</v>
      </c>
      <c r="J131" s="23">
        <v>0</v>
      </c>
      <c r="K131" s="23">
        <v>80</v>
      </c>
      <c r="L131" s="23">
        <v>20</v>
      </c>
      <c r="M131" s="23">
        <f>41*1320</f>
        <v>54120</v>
      </c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</row>
    <row r="132" spans="1:73" x14ac:dyDescent="0.2">
      <c r="A132" s="23">
        <v>47</v>
      </c>
      <c r="B132" s="23">
        <v>9600</v>
      </c>
      <c r="C132" s="23">
        <v>0</v>
      </c>
      <c r="D132" s="23">
        <v>0</v>
      </c>
      <c r="E132" s="23">
        <v>21000</v>
      </c>
      <c r="F132" s="23">
        <f>((300+100)*10)+2000+4000</f>
        <v>10000</v>
      </c>
      <c r="G132" s="23">
        <v>0</v>
      </c>
      <c r="H132" s="23">
        <v>0</v>
      </c>
      <c r="I132" s="23">
        <v>40000</v>
      </c>
      <c r="J132" s="23">
        <v>0</v>
      </c>
      <c r="K132" s="23">
        <v>250</v>
      </c>
      <c r="L132" s="23">
        <v>75</v>
      </c>
      <c r="M132" s="23">
        <f>30*3850</f>
        <v>115500</v>
      </c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</row>
    <row r="133" spans="1:73" x14ac:dyDescent="0.2">
      <c r="A133" s="23">
        <v>213</v>
      </c>
      <c r="B133" s="23">
        <v>3900</v>
      </c>
      <c r="C133" s="23">
        <v>0</v>
      </c>
      <c r="D133" s="23">
        <v>0</v>
      </c>
      <c r="E133" s="23">
        <v>800</v>
      </c>
      <c r="F133" s="23">
        <f>2500+900</f>
        <v>3400</v>
      </c>
      <c r="G133" s="23">
        <v>0</v>
      </c>
      <c r="H133" s="23">
        <v>0</v>
      </c>
      <c r="I133" s="23">
        <v>14500</v>
      </c>
      <c r="J133" s="23">
        <v>0</v>
      </c>
      <c r="K133" s="23">
        <v>100</v>
      </c>
      <c r="L133" s="23">
        <v>25</v>
      </c>
      <c r="M133" s="23">
        <f>(30*25*20.5)+30750</f>
        <v>46125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>
        <v>10000</v>
      </c>
      <c r="AY133" s="23">
        <v>0</v>
      </c>
      <c r="AZ133" s="23">
        <v>8000</v>
      </c>
      <c r="BA133" s="23">
        <v>0</v>
      </c>
      <c r="BB133" s="23">
        <v>4000</v>
      </c>
      <c r="BC133" s="23">
        <v>12000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f>150000</f>
        <v>150000</v>
      </c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</row>
    <row r="134" spans="1:73" x14ac:dyDescent="0.2">
      <c r="A134" s="23">
        <v>262</v>
      </c>
      <c r="B134" s="23">
        <v>1350</v>
      </c>
      <c r="C134" s="23">
        <v>0</v>
      </c>
      <c r="D134" s="23">
        <v>0</v>
      </c>
      <c r="E134" s="23">
        <v>15000</v>
      </c>
      <c r="F134" s="23">
        <v>0</v>
      </c>
      <c r="G134" s="23">
        <v>0</v>
      </c>
      <c r="H134" s="23">
        <v>0</v>
      </c>
      <c r="I134" s="23">
        <v>5850</v>
      </c>
      <c r="J134" s="23">
        <v>0</v>
      </c>
      <c r="K134" s="23">
        <v>70</v>
      </c>
      <c r="L134" s="23">
        <v>70</v>
      </c>
      <c r="M134" s="23">
        <v>0</v>
      </c>
      <c r="N134" s="23">
        <f>20*125</f>
        <v>2500</v>
      </c>
      <c r="O134" s="23">
        <v>0</v>
      </c>
      <c r="P134" s="23">
        <v>0</v>
      </c>
      <c r="Q134" s="23">
        <v>4000</v>
      </c>
      <c r="R134" s="23">
        <v>0</v>
      </c>
      <c r="S134" s="23">
        <v>0</v>
      </c>
      <c r="T134" s="23">
        <v>0</v>
      </c>
      <c r="U134" s="23">
        <v>3800</v>
      </c>
      <c r="V134" s="23">
        <v>0</v>
      </c>
      <c r="W134" s="23">
        <v>2000</v>
      </c>
      <c r="X134" s="23">
        <v>0</v>
      </c>
      <c r="Y134" s="23">
        <f>90*2000</f>
        <v>180000</v>
      </c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</row>
    <row r="135" spans="1:73" x14ac:dyDescent="0.2">
      <c r="A135" s="23">
        <v>143</v>
      </c>
      <c r="B135" s="23">
        <v>6000</v>
      </c>
      <c r="C135" s="23">
        <v>0</v>
      </c>
      <c r="D135" s="23">
        <v>0</v>
      </c>
      <c r="E135" s="23">
        <v>22000</v>
      </c>
      <c r="F135" s="23">
        <f>1190+1600+3600</f>
        <v>6390</v>
      </c>
      <c r="G135" s="23">
        <v>0</v>
      </c>
      <c r="H135" s="23">
        <v>0</v>
      </c>
      <c r="I135" s="23">
        <v>13000</v>
      </c>
      <c r="J135" s="23">
        <v>0</v>
      </c>
      <c r="K135" s="23">
        <v>72</v>
      </c>
      <c r="L135" s="23">
        <v>10</v>
      </c>
      <c r="M135" s="23">
        <f>45*1364</f>
        <v>61380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</row>
    <row r="136" spans="1:73" x14ac:dyDescent="0.2">
      <c r="A136" s="23">
        <v>263</v>
      </c>
      <c r="B136" s="23">
        <f>8*1400</f>
        <v>11200</v>
      </c>
      <c r="C136" s="23">
        <v>0</v>
      </c>
      <c r="D136" s="23">
        <v>0</v>
      </c>
      <c r="E136" s="23">
        <v>15000</v>
      </c>
      <c r="F136" s="23">
        <f>(1200*2)+1250+350+(1300*2)+385</f>
        <v>6985</v>
      </c>
      <c r="G136" s="23">
        <v>0</v>
      </c>
      <c r="H136" s="23">
        <v>0</v>
      </c>
      <c r="I136" s="23">
        <f>(3700*3)+8000+2400</f>
        <v>21500</v>
      </c>
      <c r="J136" s="23">
        <v>0</v>
      </c>
      <c r="K136" s="23">
        <v>400</v>
      </c>
      <c r="L136" s="23">
        <v>55</v>
      </c>
      <c r="M136" s="23">
        <f>35*7000</f>
        <v>245000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</row>
    <row r="137" spans="1:73" x14ac:dyDescent="0.2">
      <c r="A137" s="23">
        <v>264</v>
      </c>
      <c r="B137" s="23">
        <f>1350*5</f>
        <v>6750</v>
      </c>
      <c r="C137" s="23">
        <v>0</v>
      </c>
      <c r="D137" s="23">
        <v>0</v>
      </c>
      <c r="E137" s="23">
        <v>26500</v>
      </c>
      <c r="F137" s="23">
        <v>10500</v>
      </c>
      <c r="G137" s="23">
        <v>0</v>
      </c>
      <c r="H137" s="23">
        <v>0</v>
      </c>
      <c r="I137" s="23">
        <v>17000</v>
      </c>
      <c r="J137" s="23">
        <v>0</v>
      </c>
      <c r="K137" s="23">
        <v>200</v>
      </c>
      <c r="L137" s="23">
        <v>60</v>
      </c>
      <c r="M137" s="23">
        <f>32*2000</f>
        <v>64000</v>
      </c>
      <c r="N137" s="23">
        <f>125*50</f>
        <v>6250</v>
      </c>
      <c r="O137" s="23">
        <v>0</v>
      </c>
      <c r="P137" s="23">
        <v>0</v>
      </c>
      <c r="Q137" s="23">
        <v>24000</v>
      </c>
      <c r="R137" s="23">
        <f>25*1200</f>
        <v>30000</v>
      </c>
      <c r="S137" s="23">
        <v>0</v>
      </c>
      <c r="T137" s="23">
        <v>0</v>
      </c>
      <c r="U137" s="23">
        <v>10000</v>
      </c>
      <c r="V137" s="23">
        <v>0</v>
      </c>
      <c r="W137" s="23">
        <v>3500</v>
      </c>
      <c r="X137" s="23">
        <v>0</v>
      </c>
      <c r="Y137" s="23">
        <f>3500*35</f>
        <v>122500</v>
      </c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</row>
    <row r="138" spans="1:73" x14ac:dyDescent="0.2">
      <c r="A138" s="23">
        <v>265</v>
      </c>
      <c r="B138" s="23">
        <f>1350*6</f>
        <v>8100</v>
      </c>
      <c r="C138" s="23">
        <v>0</v>
      </c>
      <c r="D138" s="23">
        <v>0</v>
      </c>
      <c r="E138" s="23">
        <v>31000</v>
      </c>
      <c r="F138" s="23">
        <f>4850+1800</f>
        <v>6650</v>
      </c>
      <c r="G138" s="23">
        <v>1000</v>
      </c>
      <c r="H138" s="23">
        <v>0</v>
      </c>
      <c r="I138" s="23">
        <v>13500</v>
      </c>
      <c r="J138" s="23">
        <v>0</v>
      </c>
      <c r="K138" s="23">
        <v>350</v>
      </c>
      <c r="L138" s="23">
        <v>55</v>
      </c>
      <c r="M138" s="23">
        <f>32*4500</f>
        <v>144000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</row>
    <row r="139" spans="1:73" x14ac:dyDescent="0.2">
      <c r="A139" s="23">
        <v>266</v>
      </c>
      <c r="B139" s="23">
        <f>10*1400</f>
        <v>14000</v>
      </c>
      <c r="C139" s="23">
        <v>0</v>
      </c>
      <c r="D139" s="23">
        <v>0</v>
      </c>
      <c r="E139" s="23">
        <v>26000</v>
      </c>
      <c r="F139" s="23">
        <f>7200+3850+400+7000+10000</f>
        <v>28450</v>
      </c>
      <c r="G139" s="23">
        <v>0</v>
      </c>
      <c r="H139" s="23">
        <v>0</v>
      </c>
      <c r="I139" s="23">
        <v>39000</v>
      </c>
      <c r="J139" s="23">
        <v>0</v>
      </c>
      <c r="K139" s="23">
        <v>350</v>
      </c>
      <c r="L139" s="23">
        <v>55</v>
      </c>
      <c r="M139" s="23">
        <f>33*6000</f>
        <v>198000</v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</row>
    <row r="140" spans="1:73" x14ac:dyDescent="0.2">
      <c r="A140" s="23">
        <v>267</v>
      </c>
      <c r="B140" s="23">
        <f>1300*4</f>
        <v>5200</v>
      </c>
      <c r="C140" s="23">
        <v>0</v>
      </c>
      <c r="D140" s="23">
        <v>0</v>
      </c>
      <c r="E140" s="23">
        <f>2400+2400+9000+4000</f>
        <v>17800</v>
      </c>
      <c r="F140" s="23">
        <f>3500+3200</f>
        <v>6700</v>
      </c>
      <c r="G140" s="23">
        <v>6000</v>
      </c>
      <c r="H140" s="23">
        <v>0</v>
      </c>
      <c r="I140" s="23">
        <v>16000</v>
      </c>
      <c r="J140" s="23">
        <v>0</v>
      </c>
      <c r="K140" s="23">
        <v>100</v>
      </c>
      <c r="L140" s="23">
        <v>50</v>
      </c>
      <c r="M140" s="23">
        <f>30*45*20.5</f>
        <v>27675</v>
      </c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>
        <v>0</v>
      </c>
      <c r="BK140" s="23">
        <v>0</v>
      </c>
      <c r="BL140" s="23">
        <v>0</v>
      </c>
      <c r="BM140" s="23">
        <v>8000</v>
      </c>
      <c r="BN140" s="23">
        <v>20000</v>
      </c>
      <c r="BO140" s="23">
        <v>0</v>
      </c>
      <c r="BP140" s="23">
        <v>40000</v>
      </c>
      <c r="BQ140" s="23">
        <v>0</v>
      </c>
      <c r="BR140" s="23">
        <v>0</v>
      </c>
      <c r="BS140" s="23">
        <v>2000</v>
      </c>
      <c r="BT140" s="23">
        <v>0</v>
      </c>
      <c r="BU140" s="23">
        <f>30*2000</f>
        <v>60000</v>
      </c>
    </row>
    <row r="141" spans="1:73" x14ac:dyDescent="0.2">
      <c r="A141" s="23">
        <v>146</v>
      </c>
      <c r="B141" s="23">
        <v>3300</v>
      </c>
      <c r="C141" s="23">
        <v>0</v>
      </c>
      <c r="D141" s="23">
        <v>0</v>
      </c>
      <c r="E141" s="23">
        <v>10000</v>
      </c>
      <c r="F141" s="23">
        <v>3200</v>
      </c>
      <c r="G141" s="23">
        <v>0</v>
      </c>
      <c r="H141" s="23">
        <v>0</v>
      </c>
      <c r="I141" s="23">
        <v>1300</v>
      </c>
      <c r="J141" s="23">
        <v>0</v>
      </c>
      <c r="K141" s="23">
        <v>120</v>
      </c>
      <c r="L141" s="23">
        <v>50</v>
      </c>
      <c r="M141" s="23">
        <f>30*1650</f>
        <v>49500</v>
      </c>
      <c r="N141" s="23">
        <v>2200</v>
      </c>
      <c r="O141" s="23">
        <v>0</v>
      </c>
      <c r="P141" s="23">
        <v>0</v>
      </c>
      <c r="Q141" s="23">
        <v>17000</v>
      </c>
      <c r="R141" s="23">
        <v>350</v>
      </c>
      <c r="S141" s="23">
        <v>4000</v>
      </c>
      <c r="T141" s="23">
        <v>0</v>
      </c>
      <c r="U141" s="23">
        <f>21000+3300</f>
        <v>24300</v>
      </c>
      <c r="V141" s="23">
        <v>0</v>
      </c>
      <c r="W141" s="23">
        <v>1000</v>
      </c>
      <c r="X141" s="23">
        <v>0</v>
      </c>
      <c r="Y141" s="23">
        <v>96000</v>
      </c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</row>
    <row r="142" spans="1:73" x14ac:dyDescent="0.2">
      <c r="A142" s="23">
        <v>43</v>
      </c>
      <c r="B142" s="23">
        <v>4840</v>
      </c>
      <c r="C142" s="23">
        <v>0</v>
      </c>
      <c r="D142" s="23">
        <v>0</v>
      </c>
      <c r="E142" s="23">
        <v>25500</v>
      </c>
      <c r="F142" s="23">
        <v>2400</v>
      </c>
      <c r="G142" s="23">
        <v>0</v>
      </c>
      <c r="H142" s="23">
        <v>0</v>
      </c>
      <c r="I142" s="23">
        <v>11300</v>
      </c>
      <c r="J142" s="23">
        <v>0</v>
      </c>
      <c r="K142" s="23">
        <v>96</v>
      </c>
      <c r="L142" s="23">
        <v>60</v>
      </c>
      <c r="M142" s="23">
        <f>32*792</f>
        <v>25344</v>
      </c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</row>
    <row r="143" spans="1:73" x14ac:dyDescent="0.2">
      <c r="A143" s="23">
        <v>257</v>
      </c>
      <c r="B143" s="23">
        <v>4200</v>
      </c>
      <c r="C143" s="23">
        <v>0</v>
      </c>
      <c r="D143" s="23">
        <v>2500</v>
      </c>
      <c r="E143" s="23">
        <v>0</v>
      </c>
      <c r="F143" s="23">
        <v>6000</v>
      </c>
      <c r="G143" s="23">
        <v>0</v>
      </c>
      <c r="H143" s="23">
        <v>0</v>
      </c>
      <c r="I143" s="23">
        <v>10500</v>
      </c>
      <c r="J143" s="23">
        <v>0</v>
      </c>
      <c r="K143" s="23">
        <v>80</v>
      </c>
      <c r="L143" s="23">
        <v>50</v>
      </c>
      <c r="M143" s="23">
        <f>30*400</f>
        <v>12000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</row>
    <row r="144" spans="1:73" x14ac:dyDescent="0.2">
      <c r="A144" s="29">
        <v>103</v>
      </c>
      <c r="B144" s="29">
        <v>20000</v>
      </c>
      <c r="C144" s="29">
        <v>0</v>
      </c>
      <c r="D144" s="29">
        <v>0</v>
      </c>
      <c r="E144" s="29">
        <v>37500</v>
      </c>
      <c r="F144" s="29">
        <v>12900</v>
      </c>
      <c r="G144" s="29">
        <v>0</v>
      </c>
      <c r="H144" s="29">
        <v>0</v>
      </c>
      <c r="I144" s="29">
        <v>30000</v>
      </c>
      <c r="J144" s="29">
        <v>0</v>
      </c>
      <c r="K144" s="29">
        <v>300</v>
      </c>
      <c r="L144" s="29">
        <v>100</v>
      </c>
      <c r="M144" s="29">
        <f>33*4400</f>
        <v>145200</v>
      </c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</row>
    <row r="145" spans="1:73" s="53" customFormat="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</row>
    <row r="146" spans="1:73" x14ac:dyDescent="0.2">
      <c r="A146" s="30">
        <v>214</v>
      </c>
      <c r="B146" s="30">
        <v>5250</v>
      </c>
      <c r="C146" s="30">
        <v>0</v>
      </c>
      <c r="D146" s="30">
        <v>0</v>
      </c>
      <c r="E146" s="30">
        <f>18000+9000+4500</f>
        <v>31500</v>
      </c>
      <c r="F146" s="30">
        <v>7300</v>
      </c>
      <c r="G146" s="30">
        <v>0</v>
      </c>
      <c r="H146" s="30">
        <v>0</v>
      </c>
      <c r="I146" s="30">
        <v>16000</v>
      </c>
      <c r="J146" s="30">
        <v>0</v>
      </c>
      <c r="K146" s="30">
        <v>130</v>
      </c>
      <c r="L146" s="30">
        <v>0</v>
      </c>
      <c r="M146" s="30">
        <f>30*130*20.5</f>
        <v>79950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 spans="1:73" x14ac:dyDescent="0.2">
      <c r="A147" s="23">
        <v>229</v>
      </c>
      <c r="B147" s="23">
        <v>3400</v>
      </c>
      <c r="C147" s="23">
        <v>0</v>
      </c>
      <c r="D147" s="23">
        <v>0</v>
      </c>
      <c r="E147" s="23">
        <v>15500</v>
      </c>
      <c r="F147" s="23">
        <v>5400</v>
      </c>
      <c r="G147" s="23">
        <v>0</v>
      </c>
      <c r="H147" s="23">
        <v>0</v>
      </c>
      <c r="I147" s="23">
        <v>11000</v>
      </c>
      <c r="J147" s="23">
        <v>0</v>
      </c>
      <c r="K147" s="23">
        <v>110</v>
      </c>
      <c r="L147" s="23">
        <v>25</v>
      </c>
      <c r="M147" s="23">
        <f>35*185*20.5</f>
        <v>132737.5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>
        <v>5700</v>
      </c>
      <c r="AY147" s="23">
        <v>0</v>
      </c>
      <c r="AZ147" s="23">
        <v>0</v>
      </c>
      <c r="BA147" s="23">
        <v>35000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</row>
    <row r="148" spans="1:73" x14ac:dyDescent="0.2">
      <c r="A148" s="23">
        <v>230</v>
      </c>
      <c r="B148" s="23">
        <v>8000</v>
      </c>
      <c r="C148" s="23">
        <v>0</v>
      </c>
      <c r="D148" s="23">
        <v>0</v>
      </c>
      <c r="E148" s="23">
        <v>32000</v>
      </c>
      <c r="F148" s="23">
        <f>2300+2400+6000</f>
        <v>10700</v>
      </c>
      <c r="G148" s="23">
        <v>0</v>
      </c>
      <c r="H148" s="23">
        <v>0</v>
      </c>
      <c r="I148" s="23">
        <v>16000</v>
      </c>
      <c r="J148" s="23">
        <v>0</v>
      </c>
      <c r="K148" s="23">
        <v>120</v>
      </c>
      <c r="L148" s="23">
        <v>10</v>
      </c>
      <c r="M148" s="23">
        <f>31*1500</f>
        <v>46500</v>
      </c>
      <c r="N148" s="23">
        <f>50*125</f>
        <v>6250</v>
      </c>
      <c r="O148" s="23">
        <v>0</v>
      </c>
      <c r="P148" s="23">
        <v>0</v>
      </c>
      <c r="Q148" s="23">
        <f>48000+13000</f>
        <v>61000</v>
      </c>
      <c r="R148" s="23">
        <f>3000+4000+1800</f>
        <v>8800</v>
      </c>
      <c r="S148" s="23">
        <v>0</v>
      </c>
      <c r="T148" s="23">
        <v>0</v>
      </c>
      <c r="U148" s="23">
        <v>23000</v>
      </c>
      <c r="V148" s="23">
        <v>0</v>
      </c>
      <c r="W148" s="23">
        <v>2000</v>
      </c>
      <c r="X148" s="23">
        <v>0</v>
      </c>
      <c r="Y148" s="23">
        <f>(95*1000)+85000</f>
        <v>180000</v>
      </c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</row>
    <row r="149" spans="1:73" x14ac:dyDescent="0.2">
      <c r="A149" s="23">
        <v>231</v>
      </c>
      <c r="B149" s="23">
        <v>8200</v>
      </c>
      <c r="C149" s="23">
        <v>0</v>
      </c>
      <c r="D149" s="23">
        <v>0</v>
      </c>
      <c r="E149" s="23">
        <f>10000+20000+10000+22000</f>
        <v>62000</v>
      </c>
      <c r="F149" s="23">
        <f>5000+4000+5000</f>
        <v>14000</v>
      </c>
      <c r="G149" s="23">
        <v>5000</v>
      </c>
      <c r="H149" s="23">
        <v>0</v>
      </c>
      <c r="I149" s="23">
        <f>32500+3200</f>
        <v>35700</v>
      </c>
      <c r="J149" s="23">
        <v>0</v>
      </c>
      <c r="K149" s="23">
        <v>200</v>
      </c>
      <c r="L149" s="23">
        <v>50</v>
      </c>
      <c r="M149" s="23">
        <f>45*150*20.5</f>
        <v>138375</v>
      </c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</row>
    <row r="150" spans="1:73" x14ac:dyDescent="0.2">
      <c r="A150" s="23">
        <v>269</v>
      </c>
      <c r="B150" s="23">
        <f>75*215</f>
        <v>16125</v>
      </c>
      <c r="C150" s="23">
        <v>0</v>
      </c>
      <c r="D150" s="23">
        <v>0</v>
      </c>
      <c r="E150" s="23">
        <v>40000</v>
      </c>
      <c r="F150" s="23">
        <v>15600</v>
      </c>
      <c r="G150" s="23">
        <v>0</v>
      </c>
      <c r="H150" s="23">
        <v>0</v>
      </c>
      <c r="I150" s="23">
        <v>38000</v>
      </c>
      <c r="J150" s="23">
        <v>0</v>
      </c>
      <c r="K150" s="23">
        <v>350</v>
      </c>
      <c r="L150" s="23">
        <v>50</v>
      </c>
      <c r="M150" s="23">
        <f>30*300*20.5</f>
        <v>184500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</row>
    <row r="151" spans="1:73" x14ac:dyDescent="0.2">
      <c r="A151" s="23">
        <v>270</v>
      </c>
      <c r="B151" s="23">
        <f>1550*2</f>
        <v>3100</v>
      </c>
      <c r="C151" s="23">
        <v>0</v>
      </c>
      <c r="D151" s="23">
        <v>0</v>
      </c>
      <c r="E151" s="23">
        <v>19500</v>
      </c>
      <c r="F151" s="23">
        <f>1900+310+1750</f>
        <v>3960</v>
      </c>
      <c r="G151" s="23">
        <v>0</v>
      </c>
      <c r="H151" s="23">
        <v>0</v>
      </c>
      <c r="I151" s="23">
        <v>9250</v>
      </c>
      <c r="J151" s="23">
        <v>0</v>
      </c>
      <c r="K151" s="23">
        <v>150</v>
      </c>
      <c r="L151" s="23">
        <v>25</v>
      </c>
      <c r="M151" s="23">
        <f>33*2000</f>
        <v>66000</v>
      </c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</row>
    <row r="152" spans="1:73" x14ac:dyDescent="0.2">
      <c r="A152" s="23">
        <v>317</v>
      </c>
      <c r="B152" s="23">
        <f>120*55</f>
        <v>6600</v>
      </c>
      <c r="C152" s="23">
        <v>0</v>
      </c>
      <c r="D152" s="23">
        <v>0</v>
      </c>
      <c r="E152" s="23">
        <f>32000+27000</f>
        <v>59000</v>
      </c>
      <c r="F152" s="23">
        <f>2390+7000</f>
        <v>9390</v>
      </c>
      <c r="G152" s="23">
        <v>0</v>
      </c>
      <c r="H152" s="23">
        <v>0</v>
      </c>
      <c r="I152" s="23">
        <v>35000</v>
      </c>
      <c r="J152" s="23">
        <v>0</v>
      </c>
      <c r="K152" s="23">
        <v>375</v>
      </c>
      <c r="L152" s="23">
        <v>60</v>
      </c>
      <c r="M152" s="23">
        <f>41*315*20.5</f>
        <v>264757.5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</row>
    <row r="153" spans="1:73" x14ac:dyDescent="0.2">
      <c r="A153" s="23">
        <v>318</v>
      </c>
      <c r="B153" s="23">
        <f>6*1500</f>
        <v>9000</v>
      </c>
      <c r="C153" s="23">
        <v>0</v>
      </c>
      <c r="D153" s="23">
        <v>0</v>
      </c>
      <c r="E153" s="23">
        <f>18000+17500</f>
        <v>35500</v>
      </c>
      <c r="F153" s="23">
        <f>((210+132)*10)+(6*1200)+4000+11800</f>
        <v>26420</v>
      </c>
      <c r="G153" s="23">
        <v>0</v>
      </c>
      <c r="H153" s="23">
        <v>0</v>
      </c>
      <c r="I153" s="23">
        <f>25000+2400+4000</f>
        <v>31400</v>
      </c>
      <c r="J153" s="23">
        <v>0</v>
      </c>
      <c r="K153" s="23">
        <f>4018/20.5</f>
        <v>196</v>
      </c>
      <c r="L153" s="23">
        <v>50</v>
      </c>
      <c r="M153" s="23">
        <f>146*1650</f>
        <v>240900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</row>
    <row r="154" spans="1:73" x14ac:dyDescent="0.2">
      <c r="A154" s="23">
        <v>319</v>
      </c>
      <c r="B154" s="23">
        <v>7500</v>
      </c>
      <c r="C154" s="23">
        <v>0</v>
      </c>
      <c r="D154" s="23">
        <v>0</v>
      </c>
      <c r="E154" s="23">
        <f>12000+16000+6000+25000</f>
        <v>59000</v>
      </c>
      <c r="F154" s="23">
        <f>2850+2500+4000</f>
        <v>9350</v>
      </c>
      <c r="G154" s="23">
        <v>0</v>
      </c>
      <c r="H154" s="23">
        <v>0</v>
      </c>
      <c r="I154" s="23">
        <v>28000</v>
      </c>
      <c r="J154" s="23">
        <v>0</v>
      </c>
      <c r="K154" s="23">
        <v>78</v>
      </c>
      <c r="L154" s="23">
        <v>20</v>
      </c>
      <c r="M154" s="23">
        <f>60000</f>
        <v>60000</v>
      </c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</row>
    <row r="155" spans="1:73" x14ac:dyDescent="0.2">
      <c r="A155" s="29">
        <v>232</v>
      </c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>
        <f>12*120</f>
        <v>1440</v>
      </c>
      <c r="O155" s="29">
        <v>0</v>
      </c>
      <c r="P155" s="29">
        <v>0</v>
      </c>
      <c r="Q155" s="29">
        <v>17000</v>
      </c>
      <c r="R155" s="29">
        <v>3900</v>
      </c>
      <c r="S155" s="29">
        <v>0</v>
      </c>
      <c r="T155" s="29">
        <v>0</v>
      </c>
      <c r="U155" s="29">
        <v>11000</v>
      </c>
      <c r="V155" s="29">
        <v>0</v>
      </c>
      <c r="W155" s="29">
        <v>900</v>
      </c>
      <c r="X155" s="29">
        <v>0</v>
      </c>
      <c r="Y155" s="29">
        <f>90*900</f>
        <v>81000</v>
      </c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</row>
    <row r="156" spans="1:73" s="53" customFormat="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</row>
    <row r="157" spans="1:73" x14ac:dyDescent="0.2">
      <c r="A157" s="30">
        <v>156</v>
      </c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>
        <v>0</v>
      </c>
      <c r="O157" s="30">
        <v>0</v>
      </c>
      <c r="P157" s="30">
        <v>0</v>
      </c>
      <c r="Q157" s="30">
        <v>22500</v>
      </c>
      <c r="R157" s="30">
        <v>0</v>
      </c>
      <c r="S157" s="30">
        <v>12000</v>
      </c>
      <c r="T157" s="30">
        <v>0</v>
      </c>
      <c r="U157" s="30">
        <v>20000</v>
      </c>
      <c r="V157" s="30">
        <v>0</v>
      </c>
      <c r="W157" s="30">
        <v>1000</v>
      </c>
      <c r="X157" s="30">
        <v>0</v>
      </c>
      <c r="Y157" s="30">
        <v>96000</v>
      </c>
      <c r="Z157" s="30">
        <v>10000</v>
      </c>
      <c r="AA157" s="30">
        <v>0</v>
      </c>
      <c r="AB157" s="30">
        <v>0</v>
      </c>
      <c r="AC157" s="30">
        <v>10500</v>
      </c>
      <c r="AD157" s="30">
        <v>15000</v>
      </c>
      <c r="AE157" s="30">
        <v>0</v>
      </c>
      <c r="AF157" s="30">
        <v>0</v>
      </c>
      <c r="AG157" s="30">
        <v>20000</v>
      </c>
      <c r="AH157" s="30">
        <v>0</v>
      </c>
      <c r="AI157" s="30">
        <v>4000</v>
      </c>
      <c r="AJ157" s="30">
        <v>0</v>
      </c>
      <c r="AK157" s="30">
        <f>35*4000</f>
        <v>140000</v>
      </c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 spans="1:73" x14ac:dyDescent="0.2">
      <c r="A158" s="23">
        <v>151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>
        <v>540</v>
      </c>
      <c r="O158" s="23">
        <v>0</v>
      </c>
      <c r="P158" s="23">
        <v>0</v>
      </c>
      <c r="Q158" s="23">
        <v>30500</v>
      </c>
      <c r="R158" s="23">
        <f>2500+450+1800</f>
        <v>4750</v>
      </c>
      <c r="S158" s="23">
        <v>0</v>
      </c>
      <c r="T158" s="23">
        <v>0</v>
      </c>
      <c r="U158" s="23">
        <v>20500</v>
      </c>
      <c r="V158" s="23">
        <v>0</v>
      </c>
      <c r="W158" s="23">
        <v>1500</v>
      </c>
      <c r="X158" s="23">
        <v>0</v>
      </c>
      <c r="Y158" s="23">
        <f>95*1500</f>
        <v>142500</v>
      </c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</row>
    <row r="159" spans="1:73" x14ac:dyDescent="0.2">
      <c r="A159" s="23">
        <v>157</v>
      </c>
      <c r="B159" s="23">
        <v>3900</v>
      </c>
      <c r="C159" s="23">
        <v>0</v>
      </c>
      <c r="D159" s="23">
        <v>0</v>
      </c>
      <c r="E159" s="23">
        <v>22000</v>
      </c>
      <c r="F159" s="23">
        <f>2700+500+2400</f>
        <v>5600</v>
      </c>
      <c r="G159" s="23">
        <v>0</v>
      </c>
      <c r="H159" s="23">
        <v>0</v>
      </c>
      <c r="I159" s="23">
        <v>16000</v>
      </c>
      <c r="J159" s="23">
        <v>0</v>
      </c>
      <c r="K159" s="23">
        <v>45</v>
      </c>
      <c r="L159" s="23">
        <v>45</v>
      </c>
      <c r="M159" s="23">
        <v>0</v>
      </c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</row>
    <row r="160" spans="1:73" x14ac:dyDescent="0.2">
      <c r="A160" s="23">
        <v>50</v>
      </c>
      <c r="B160" s="23">
        <v>4800</v>
      </c>
      <c r="C160" s="23">
        <v>0</v>
      </c>
      <c r="D160" s="23">
        <v>0</v>
      </c>
      <c r="E160" s="23">
        <v>11000</v>
      </c>
      <c r="F160" s="23">
        <v>5500</v>
      </c>
      <c r="G160" s="23">
        <v>0</v>
      </c>
      <c r="H160" s="23">
        <v>0</v>
      </c>
      <c r="I160" s="23">
        <v>14000</v>
      </c>
      <c r="J160" s="23">
        <v>0</v>
      </c>
      <c r="K160" s="23">
        <v>40</v>
      </c>
      <c r="L160" s="23">
        <v>20</v>
      </c>
      <c r="M160" s="23">
        <f>27*440</f>
        <v>11880</v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</row>
    <row r="161" spans="1:73" x14ac:dyDescent="0.2">
      <c r="A161" s="23">
        <v>49</v>
      </c>
      <c r="B161" s="23">
        <v>10200</v>
      </c>
      <c r="C161" s="23">
        <v>0</v>
      </c>
      <c r="D161" s="23">
        <v>0</v>
      </c>
      <c r="E161" s="23">
        <v>47000</v>
      </c>
      <c r="F161" s="23">
        <v>3450</v>
      </c>
      <c r="G161" s="23">
        <v>0</v>
      </c>
      <c r="H161" s="23">
        <v>0</v>
      </c>
      <c r="I161" s="23">
        <v>22000</v>
      </c>
      <c r="J161" s="23">
        <v>0</v>
      </c>
      <c r="K161" s="23">
        <v>100</v>
      </c>
      <c r="L161" s="23">
        <v>50</v>
      </c>
      <c r="M161" s="23">
        <f>30*2200</f>
        <v>66000</v>
      </c>
      <c r="N161" s="23">
        <v>3375</v>
      </c>
      <c r="O161" s="23">
        <v>0</v>
      </c>
      <c r="P161" s="23">
        <v>0</v>
      </c>
      <c r="Q161" s="23">
        <v>26000</v>
      </c>
      <c r="R161" s="23">
        <v>900</v>
      </c>
      <c r="S161" s="23">
        <v>0</v>
      </c>
      <c r="T161" s="23">
        <v>0</v>
      </c>
      <c r="U161" s="23">
        <v>2500</v>
      </c>
      <c r="V161" s="23">
        <v>0</v>
      </c>
      <c r="W161" s="23">
        <v>750</v>
      </c>
      <c r="X161" s="23">
        <v>0</v>
      </c>
      <c r="Y161" s="23">
        <f>95*750</f>
        <v>71250</v>
      </c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</row>
    <row r="162" spans="1:73" x14ac:dyDescent="0.2">
      <c r="A162" s="23">
        <v>44</v>
      </c>
      <c r="B162" s="23">
        <v>1600</v>
      </c>
      <c r="C162" s="23">
        <v>0</v>
      </c>
      <c r="D162" s="23">
        <v>0</v>
      </c>
      <c r="E162" s="23">
        <v>11000</v>
      </c>
      <c r="F162" s="23">
        <f>5650</f>
        <v>5650</v>
      </c>
      <c r="G162" s="23">
        <v>0</v>
      </c>
      <c r="H162" s="23">
        <v>0</v>
      </c>
      <c r="I162" s="23">
        <v>3000</v>
      </c>
      <c r="J162" s="23">
        <v>0</v>
      </c>
      <c r="K162" s="23">
        <v>40</v>
      </c>
      <c r="L162" s="23">
        <v>40</v>
      </c>
      <c r="M162" s="23">
        <v>0</v>
      </c>
      <c r="N162" s="23">
        <v>2000</v>
      </c>
      <c r="O162" s="23">
        <v>0</v>
      </c>
      <c r="P162" s="23">
        <v>0</v>
      </c>
      <c r="Q162" s="23">
        <v>16000</v>
      </c>
      <c r="R162" s="23">
        <v>2800</v>
      </c>
      <c r="S162" s="23">
        <v>6000</v>
      </c>
      <c r="T162" s="23">
        <v>0</v>
      </c>
      <c r="U162" s="23">
        <v>14500</v>
      </c>
      <c r="V162" s="23">
        <v>0</v>
      </c>
      <c r="W162" s="23">
        <v>1200</v>
      </c>
      <c r="X162" s="23">
        <v>0</v>
      </c>
      <c r="Y162" s="23">
        <f>90*1200</f>
        <v>108000</v>
      </c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</row>
    <row r="163" spans="1:73" x14ac:dyDescent="0.2">
      <c r="A163" s="23">
        <v>45</v>
      </c>
      <c r="B163" s="23">
        <v>4800</v>
      </c>
      <c r="C163" s="23">
        <v>0</v>
      </c>
      <c r="D163" s="23">
        <v>0</v>
      </c>
      <c r="E163" s="23">
        <v>23000</v>
      </c>
      <c r="F163" s="23">
        <f>1090+660+6000</f>
        <v>7750</v>
      </c>
      <c r="G163" s="23">
        <v>0</v>
      </c>
      <c r="H163" s="23">
        <v>0</v>
      </c>
      <c r="I163" s="23">
        <v>8500</v>
      </c>
      <c r="J163" s="23">
        <v>0</v>
      </c>
      <c r="K163" s="23">
        <v>60</v>
      </c>
      <c r="L163" s="23">
        <v>10</v>
      </c>
      <c r="M163" s="23">
        <f>28*1100</f>
        <v>30800</v>
      </c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</row>
    <row r="164" spans="1:73" x14ac:dyDescent="0.2">
      <c r="A164" s="23">
        <v>46</v>
      </c>
      <c r="B164" s="23">
        <v>9000</v>
      </c>
      <c r="C164" s="23">
        <v>0</v>
      </c>
      <c r="D164" s="23">
        <v>0</v>
      </c>
      <c r="E164" s="23">
        <f>18000+20000+16000+27000</f>
        <v>81000</v>
      </c>
      <c r="F164" s="23">
        <f>3000+1500+1500+7000</f>
        <v>13000</v>
      </c>
      <c r="G164" s="23">
        <v>0</v>
      </c>
      <c r="H164" s="23">
        <v>0</v>
      </c>
      <c r="I164" s="23">
        <v>31000</v>
      </c>
      <c r="J164" s="23">
        <v>0</v>
      </c>
      <c r="K164" s="23">
        <v>120</v>
      </c>
      <c r="L164" s="23">
        <v>0</v>
      </c>
      <c r="M164" s="23">
        <f>29*2640*3</f>
        <v>229680</v>
      </c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</row>
    <row r="165" spans="1:73" x14ac:dyDescent="0.2">
      <c r="A165" s="23">
        <v>48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>
        <v>1900</v>
      </c>
      <c r="O165" s="23">
        <v>0</v>
      </c>
      <c r="P165" s="23">
        <v>0</v>
      </c>
      <c r="Q165" s="23">
        <v>24000</v>
      </c>
      <c r="R165" s="23">
        <f>1360+1200+3270</f>
        <v>5830</v>
      </c>
      <c r="S165" s="23">
        <v>1000</v>
      </c>
      <c r="T165" s="23">
        <v>0</v>
      </c>
      <c r="U165" s="23">
        <v>5750</v>
      </c>
      <c r="V165" s="23">
        <v>0</v>
      </c>
      <c r="W165" s="23">
        <v>1200</v>
      </c>
      <c r="X165" s="23">
        <v>0</v>
      </c>
      <c r="Y165" s="23">
        <f>95*1200</f>
        <v>114000</v>
      </c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</row>
    <row r="166" spans="1:73" x14ac:dyDescent="0.2">
      <c r="A166" s="23">
        <v>47</v>
      </c>
      <c r="B166" s="23">
        <v>9350</v>
      </c>
      <c r="C166" s="23">
        <v>0</v>
      </c>
      <c r="D166" s="23">
        <v>0</v>
      </c>
      <c r="E166" s="23">
        <f>48000+22500</f>
        <v>70500</v>
      </c>
      <c r="F166" s="23">
        <f>500+500+600</f>
        <v>1600</v>
      </c>
      <c r="G166" s="23">
        <v>0</v>
      </c>
      <c r="H166" s="23">
        <v>0</v>
      </c>
      <c r="I166" s="23">
        <v>28000</v>
      </c>
      <c r="J166" s="23">
        <v>0</v>
      </c>
      <c r="K166" s="23">
        <v>100</v>
      </c>
      <c r="L166" s="23">
        <v>25</v>
      </c>
      <c r="M166" s="23">
        <f>40*1650</f>
        <v>66000</v>
      </c>
      <c r="N166" s="23">
        <v>950</v>
      </c>
      <c r="O166" s="23">
        <v>0</v>
      </c>
      <c r="P166" s="23">
        <v>0</v>
      </c>
      <c r="Q166" s="23">
        <v>10000</v>
      </c>
      <c r="R166" s="23">
        <v>2600</v>
      </c>
      <c r="S166" s="23">
        <v>4000</v>
      </c>
      <c r="T166" s="23">
        <v>0</v>
      </c>
      <c r="U166" s="23">
        <v>2250</v>
      </c>
      <c r="V166" s="23">
        <v>0</v>
      </c>
      <c r="W166" s="23">
        <v>450</v>
      </c>
      <c r="X166" s="23">
        <v>0</v>
      </c>
      <c r="Y166" s="23">
        <f>95*450</f>
        <v>42750</v>
      </c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</row>
    <row r="167" spans="1:73" x14ac:dyDescent="0.2">
      <c r="A167" s="23">
        <v>149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>
        <v>5625</v>
      </c>
      <c r="O167" s="23">
        <v>0</v>
      </c>
      <c r="P167" s="23">
        <v>0</v>
      </c>
      <c r="Q167" s="23">
        <v>56000</v>
      </c>
      <c r="R167" s="23">
        <f>1300+3600+425</f>
        <v>5325</v>
      </c>
      <c r="S167" s="23">
        <v>15000</v>
      </c>
      <c r="T167" s="23">
        <v>0</v>
      </c>
      <c r="U167" s="23">
        <f>8500+2000+18000</f>
        <v>28500</v>
      </c>
      <c r="V167" s="23">
        <v>0</v>
      </c>
      <c r="W167" s="23">
        <v>2021</v>
      </c>
      <c r="X167" s="23">
        <v>0</v>
      </c>
      <c r="Y167" s="23">
        <f>95*2021</f>
        <v>191995</v>
      </c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</row>
    <row r="168" spans="1:73" x14ac:dyDescent="0.2">
      <c r="A168" s="23">
        <v>150</v>
      </c>
      <c r="B168" s="23">
        <v>5100</v>
      </c>
      <c r="C168" s="23">
        <v>0</v>
      </c>
      <c r="D168" s="23">
        <v>0</v>
      </c>
      <c r="E168" s="23">
        <v>10500</v>
      </c>
      <c r="F168" s="23">
        <f>1500+350+200+1200+600+2200</f>
        <v>6050</v>
      </c>
      <c r="G168" s="23">
        <v>0</v>
      </c>
      <c r="H168" s="23">
        <v>0</v>
      </c>
      <c r="I168" s="23">
        <v>3200</v>
      </c>
      <c r="J168" s="23">
        <v>0</v>
      </c>
      <c r="K168" s="23">
        <v>30</v>
      </c>
      <c r="L168" s="23">
        <v>30</v>
      </c>
      <c r="M168" s="23">
        <v>0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</row>
    <row r="169" spans="1:73" x14ac:dyDescent="0.2">
      <c r="A169" s="23">
        <v>153</v>
      </c>
      <c r="B169" s="23">
        <v>1350</v>
      </c>
      <c r="C169" s="23">
        <v>0</v>
      </c>
      <c r="D169" s="23">
        <v>0</v>
      </c>
      <c r="E169" s="23">
        <v>10500</v>
      </c>
      <c r="F169" s="23">
        <v>1700</v>
      </c>
      <c r="G169" s="23">
        <v>0</v>
      </c>
      <c r="H169" s="23">
        <v>0</v>
      </c>
      <c r="I169" s="23">
        <v>8250</v>
      </c>
      <c r="J169" s="23">
        <v>0</v>
      </c>
      <c r="K169" s="23">
        <v>20</v>
      </c>
      <c r="L169" s="23">
        <v>20</v>
      </c>
      <c r="M169" s="23">
        <v>0</v>
      </c>
      <c r="N169" s="23">
        <v>1350</v>
      </c>
      <c r="O169" s="23">
        <v>0</v>
      </c>
      <c r="P169" s="23">
        <v>0</v>
      </c>
      <c r="Q169" s="23">
        <v>6500</v>
      </c>
      <c r="R169" s="23">
        <f>450+800</f>
        <v>1250</v>
      </c>
      <c r="S169" s="23">
        <v>0</v>
      </c>
      <c r="T169" s="23">
        <v>0</v>
      </c>
      <c r="U169" s="23">
        <f>1900+750+3000</f>
        <v>5650</v>
      </c>
      <c r="V169" s="23">
        <v>0</v>
      </c>
      <c r="W169" s="23">
        <v>400</v>
      </c>
      <c r="X169" s="23">
        <v>0</v>
      </c>
      <c r="Y169" s="23">
        <f>95*400</f>
        <v>38000</v>
      </c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</row>
    <row r="170" spans="1:73" x14ac:dyDescent="0.2">
      <c r="A170" s="23">
        <v>152</v>
      </c>
      <c r="B170" s="23">
        <v>5100</v>
      </c>
      <c r="C170" s="23">
        <v>0</v>
      </c>
      <c r="D170" s="23">
        <v>0</v>
      </c>
      <c r="E170" s="23">
        <v>14000</v>
      </c>
      <c r="F170" s="23">
        <f>1500+350+200+1200+2600</f>
        <v>5850</v>
      </c>
      <c r="G170" s="23">
        <v>0</v>
      </c>
      <c r="H170" s="23">
        <v>0</v>
      </c>
      <c r="I170" s="23">
        <v>15200</v>
      </c>
      <c r="J170" s="23">
        <v>0</v>
      </c>
      <c r="K170" s="23">
        <v>100</v>
      </c>
      <c r="L170" s="23">
        <v>50</v>
      </c>
      <c r="M170" s="23">
        <f>40*1100</f>
        <v>44000</v>
      </c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</row>
    <row r="171" spans="1:73" x14ac:dyDescent="0.2">
      <c r="A171" s="23">
        <v>155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>
        <v>1200</v>
      </c>
      <c r="O171" s="23">
        <v>0</v>
      </c>
      <c r="P171" s="23">
        <v>0</v>
      </c>
      <c r="Q171" s="23">
        <v>5500</v>
      </c>
      <c r="R171" s="23">
        <f>450+600+800</f>
        <v>1850</v>
      </c>
      <c r="S171" s="23">
        <v>0</v>
      </c>
      <c r="T171" s="23">
        <v>0</v>
      </c>
      <c r="U171" s="23">
        <v>4500</v>
      </c>
      <c r="V171" s="23">
        <v>0</v>
      </c>
      <c r="W171" s="23">
        <v>300</v>
      </c>
      <c r="X171" s="23">
        <v>0</v>
      </c>
      <c r="Y171" s="23">
        <f>95*300</f>
        <v>28500</v>
      </c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</row>
    <row r="172" spans="1:73" x14ac:dyDescent="0.2">
      <c r="A172" s="29">
        <v>154</v>
      </c>
      <c r="B172" s="29">
        <v>8400</v>
      </c>
      <c r="C172" s="29">
        <v>0</v>
      </c>
      <c r="D172" s="29">
        <v>0</v>
      </c>
      <c r="E172" s="29">
        <f>36000+27000</f>
        <v>63000</v>
      </c>
      <c r="F172" s="29">
        <f>1750+1050+1050+600+3500</f>
        <v>7950</v>
      </c>
      <c r="G172" s="29">
        <v>8000</v>
      </c>
      <c r="H172" s="29">
        <v>0</v>
      </c>
      <c r="I172" s="29">
        <v>40000</v>
      </c>
      <c r="J172" s="29">
        <v>0</v>
      </c>
      <c r="K172" s="29">
        <v>160</v>
      </c>
      <c r="L172" s="29">
        <v>60</v>
      </c>
      <c r="M172" s="29">
        <f>30*2200</f>
        <v>66000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</row>
    <row r="173" spans="1:73" s="53" customFormat="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</row>
    <row r="174" spans="1:73" x14ac:dyDescent="0.2">
      <c r="A174" s="30">
        <v>163</v>
      </c>
      <c r="B174" s="30">
        <v>4200</v>
      </c>
      <c r="C174" s="30">
        <v>0</v>
      </c>
      <c r="D174" s="30">
        <v>0</v>
      </c>
      <c r="E174" s="30">
        <v>26000</v>
      </c>
      <c r="F174" s="30">
        <f>(900+350+370)+2500</f>
        <v>4120</v>
      </c>
      <c r="G174" s="30">
        <v>0</v>
      </c>
      <c r="H174" s="30">
        <v>0</v>
      </c>
      <c r="I174" s="30">
        <v>10250</v>
      </c>
      <c r="J174" s="30">
        <v>0</v>
      </c>
      <c r="K174" s="30">
        <v>100</v>
      </c>
      <c r="L174" s="30">
        <v>50</v>
      </c>
      <c r="M174" s="30">
        <f>35*50*20.5</f>
        <v>35875</v>
      </c>
      <c r="N174" s="30">
        <v>2000</v>
      </c>
      <c r="O174" s="30">
        <v>0</v>
      </c>
      <c r="P174" s="30">
        <v>0</v>
      </c>
      <c r="Q174" s="30">
        <v>22000</v>
      </c>
      <c r="R174" s="30">
        <v>650</v>
      </c>
      <c r="S174" s="30">
        <v>0</v>
      </c>
      <c r="T174" s="30">
        <v>0</v>
      </c>
      <c r="U174" s="30">
        <v>18250</v>
      </c>
      <c r="V174" s="30">
        <v>0</v>
      </c>
      <c r="W174" s="30">
        <v>1000</v>
      </c>
      <c r="X174" s="30">
        <v>0</v>
      </c>
      <c r="Y174" s="30">
        <v>90000</v>
      </c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 spans="1:73" x14ac:dyDescent="0.2">
      <c r="A175" s="23">
        <v>164</v>
      </c>
      <c r="B175" s="23">
        <v>3300</v>
      </c>
      <c r="C175" s="23">
        <v>0</v>
      </c>
      <c r="D175" s="23">
        <v>0</v>
      </c>
      <c r="E175" s="23">
        <v>12000</v>
      </c>
      <c r="F175" s="23">
        <f>2250+3500+2000</f>
        <v>7750</v>
      </c>
      <c r="G175" s="23">
        <v>0</v>
      </c>
      <c r="H175" s="23">
        <v>0</v>
      </c>
      <c r="I175" s="23">
        <v>13000</v>
      </c>
      <c r="J175" s="23">
        <v>0</v>
      </c>
      <c r="K175" s="23">
        <v>100</v>
      </c>
      <c r="L175" s="23">
        <v>30</v>
      </c>
      <c r="M175" s="23">
        <f>36*1540</f>
        <v>55440</v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>
        <v>0</v>
      </c>
      <c r="AY175" s="23">
        <v>0</v>
      </c>
      <c r="AZ175" s="23">
        <v>0</v>
      </c>
      <c r="BA175" s="23">
        <v>20000</v>
      </c>
      <c r="BB175" s="23">
        <v>70000</v>
      </c>
      <c r="BC175" s="23">
        <v>0</v>
      </c>
      <c r="BD175" s="23">
        <v>0</v>
      </c>
      <c r="BE175" s="23">
        <v>3000</v>
      </c>
      <c r="BF175" s="23">
        <v>0</v>
      </c>
      <c r="BG175" s="23">
        <v>2000</v>
      </c>
      <c r="BH175" s="23">
        <v>0</v>
      </c>
      <c r="BI175" s="23">
        <f>40*2000</f>
        <v>80000</v>
      </c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</row>
    <row r="176" spans="1:73" x14ac:dyDescent="0.2">
      <c r="A176" s="23">
        <v>165</v>
      </c>
      <c r="B176" s="23">
        <v>7200</v>
      </c>
      <c r="C176" s="23">
        <v>0</v>
      </c>
      <c r="D176" s="23">
        <v>0</v>
      </c>
      <c r="E176" s="23">
        <v>57000</v>
      </c>
      <c r="F176" s="23">
        <v>6500</v>
      </c>
      <c r="G176" s="23">
        <v>0</v>
      </c>
      <c r="H176" s="23">
        <v>0</v>
      </c>
      <c r="I176" s="23">
        <v>25000</v>
      </c>
      <c r="J176" s="23">
        <v>0</v>
      </c>
      <c r="K176" s="23">
        <v>175</v>
      </c>
      <c r="L176" s="23">
        <v>90</v>
      </c>
      <c r="M176" s="23">
        <f>42*1870</f>
        <v>78540</v>
      </c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</row>
    <row r="177" spans="1:73" x14ac:dyDescent="0.2">
      <c r="A177" s="23">
        <v>56</v>
      </c>
      <c r="B177" s="23">
        <v>975</v>
      </c>
      <c r="C177" s="23">
        <v>0</v>
      </c>
      <c r="D177" s="23">
        <v>0</v>
      </c>
      <c r="E177" s="23">
        <v>1500</v>
      </c>
      <c r="F177" s="23">
        <v>450</v>
      </c>
      <c r="G177" s="23">
        <v>0</v>
      </c>
      <c r="H177" s="23">
        <v>0</v>
      </c>
      <c r="I177" s="23">
        <v>900</v>
      </c>
      <c r="J177" s="23">
        <v>0</v>
      </c>
      <c r="K177" s="23">
        <v>12</v>
      </c>
      <c r="L177" s="23">
        <v>12</v>
      </c>
      <c r="M177" s="23">
        <v>0</v>
      </c>
      <c r="N177" s="23">
        <v>2500</v>
      </c>
      <c r="O177" s="23">
        <v>0</v>
      </c>
      <c r="P177" s="23">
        <v>0</v>
      </c>
      <c r="Q177" s="23">
        <v>6000</v>
      </c>
      <c r="R177" s="23">
        <v>1600</v>
      </c>
      <c r="S177" s="23">
        <v>0</v>
      </c>
      <c r="T177" s="23">
        <v>0</v>
      </c>
      <c r="U177" s="23">
        <v>3000</v>
      </c>
      <c r="V177" s="23">
        <v>0</v>
      </c>
      <c r="W177" s="23">
        <v>800</v>
      </c>
      <c r="X177" s="23">
        <v>0</v>
      </c>
      <c r="Y177" s="23">
        <f>95*800</f>
        <v>76000</v>
      </c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</row>
    <row r="178" spans="1:73" x14ac:dyDescent="0.2">
      <c r="A178" s="23">
        <v>58</v>
      </c>
      <c r="B178" s="23">
        <v>1625</v>
      </c>
      <c r="C178" s="23">
        <v>0</v>
      </c>
      <c r="D178" s="23">
        <v>0</v>
      </c>
      <c r="E178" s="23">
        <v>4000</v>
      </c>
      <c r="F178" s="23">
        <v>700</v>
      </c>
      <c r="G178" s="23">
        <v>0</v>
      </c>
      <c r="H178" s="23">
        <v>0</v>
      </c>
      <c r="I178" s="23">
        <v>5000</v>
      </c>
      <c r="J178" s="23">
        <v>0</v>
      </c>
      <c r="K178" s="23">
        <v>30</v>
      </c>
      <c r="L178" s="23">
        <v>30</v>
      </c>
      <c r="M178" s="23">
        <v>0</v>
      </c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>
        <v>0</v>
      </c>
      <c r="AY178" s="23">
        <v>0</v>
      </c>
      <c r="AZ178" s="23">
        <v>0</v>
      </c>
      <c r="BA178" s="23">
        <v>0</v>
      </c>
      <c r="BB178" s="23">
        <v>600</v>
      </c>
      <c r="BC178" s="23">
        <v>0</v>
      </c>
      <c r="BD178" s="23">
        <v>0</v>
      </c>
      <c r="BE178" s="23">
        <v>5000</v>
      </c>
      <c r="BF178" s="23">
        <v>0</v>
      </c>
      <c r="BG178" s="23">
        <v>2000</v>
      </c>
      <c r="BH178" s="23">
        <v>0</v>
      </c>
      <c r="BI178" s="23">
        <f>30*2000</f>
        <v>60000</v>
      </c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</row>
    <row r="179" spans="1:73" x14ac:dyDescent="0.2">
      <c r="A179" s="23">
        <v>59</v>
      </c>
      <c r="B179" s="23">
        <v>14300</v>
      </c>
      <c r="C179" s="23">
        <v>0</v>
      </c>
      <c r="D179" s="23">
        <v>0</v>
      </c>
      <c r="E179" s="23">
        <v>8250</v>
      </c>
      <c r="F179" s="23">
        <v>13900</v>
      </c>
      <c r="G179" s="23">
        <v>0</v>
      </c>
      <c r="H179" s="23">
        <v>0</v>
      </c>
      <c r="I179" s="23">
        <v>51000</v>
      </c>
      <c r="J179" s="23">
        <v>0</v>
      </c>
      <c r="K179" s="23">
        <v>180</v>
      </c>
      <c r="L179" s="23">
        <v>0</v>
      </c>
      <c r="M179" s="23">
        <f>40*3960</f>
        <v>158400</v>
      </c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</row>
    <row r="180" spans="1:73" x14ac:dyDescent="0.2">
      <c r="A180" s="23">
        <v>60</v>
      </c>
      <c r="B180" s="23">
        <v>0</v>
      </c>
      <c r="C180" s="23">
        <v>0</v>
      </c>
      <c r="D180" s="23">
        <v>0</v>
      </c>
      <c r="E180" s="23">
        <v>9000</v>
      </c>
      <c r="F180" s="23">
        <v>3300</v>
      </c>
      <c r="G180" s="23">
        <v>0</v>
      </c>
      <c r="H180" s="23">
        <v>0</v>
      </c>
      <c r="I180" s="23">
        <v>11000</v>
      </c>
      <c r="J180" s="23">
        <v>0</v>
      </c>
      <c r="K180" s="23">
        <v>100</v>
      </c>
      <c r="L180" s="23">
        <v>45</v>
      </c>
      <c r="M180" s="23">
        <f>46*1210</f>
        <v>55660</v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>
        <f>5600+500+2300</f>
        <v>8400</v>
      </c>
      <c r="AY180" s="23">
        <v>0</v>
      </c>
      <c r="AZ180" s="23">
        <v>0</v>
      </c>
      <c r="BA180" s="23">
        <v>16000</v>
      </c>
      <c r="BB180" s="23">
        <v>37200</v>
      </c>
      <c r="BC180" s="23">
        <v>0</v>
      </c>
      <c r="BD180" s="23">
        <v>0</v>
      </c>
      <c r="BE180" s="23">
        <v>0</v>
      </c>
      <c r="BF180" s="23">
        <v>0</v>
      </c>
      <c r="BG180" s="23">
        <v>0</v>
      </c>
      <c r="BH180" s="23">
        <v>0</v>
      </c>
      <c r="BI180" s="23">
        <v>0</v>
      </c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</row>
    <row r="181" spans="1:73" x14ac:dyDescent="0.2">
      <c r="A181" s="23">
        <v>61</v>
      </c>
      <c r="B181" s="23">
        <v>11440</v>
      </c>
      <c r="C181" s="23">
        <v>0</v>
      </c>
      <c r="D181" s="23">
        <v>0</v>
      </c>
      <c r="E181" s="23">
        <v>30000</v>
      </c>
      <c r="F181" s="23">
        <v>4100</v>
      </c>
      <c r="G181" s="23">
        <v>0</v>
      </c>
      <c r="H181" s="23">
        <v>0</v>
      </c>
      <c r="I181" s="23">
        <v>45000</v>
      </c>
      <c r="J181" s="23">
        <v>0</v>
      </c>
      <c r="K181" s="23">
        <v>350</v>
      </c>
      <c r="L181" s="23">
        <v>25</v>
      </c>
      <c r="M181" s="23">
        <f>42*7150</f>
        <v>300300</v>
      </c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</row>
    <row r="182" spans="1:73" x14ac:dyDescent="0.2">
      <c r="A182" s="23">
        <v>62</v>
      </c>
      <c r="B182" s="23">
        <v>7150</v>
      </c>
      <c r="C182" s="23">
        <v>0</v>
      </c>
      <c r="D182" s="23">
        <v>0</v>
      </c>
      <c r="E182" s="23">
        <f>4000+6000</f>
        <v>10000</v>
      </c>
      <c r="F182" s="23">
        <v>6000</v>
      </c>
      <c r="G182" s="23">
        <v>0</v>
      </c>
      <c r="H182" s="23">
        <v>0</v>
      </c>
      <c r="I182" s="23">
        <v>32500</v>
      </c>
      <c r="J182" s="23">
        <v>0</v>
      </c>
      <c r="K182" s="23">
        <v>150</v>
      </c>
      <c r="L182" s="23">
        <v>30</v>
      </c>
      <c r="M182" s="23">
        <f>41*2640</f>
        <v>108240</v>
      </c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</row>
    <row r="183" spans="1:73" x14ac:dyDescent="0.2">
      <c r="A183" s="23">
        <v>63</v>
      </c>
      <c r="B183" s="23">
        <v>3900</v>
      </c>
      <c r="C183" s="23">
        <v>0</v>
      </c>
      <c r="D183" s="23">
        <v>0</v>
      </c>
      <c r="E183" s="23">
        <v>28000</v>
      </c>
      <c r="F183" s="23">
        <f>1500+470+470+3000</f>
        <v>5440</v>
      </c>
      <c r="G183" s="23">
        <v>0</v>
      </c>
      <c r="H183" s="23">
        <v>0</v>
      </c>
      <c r="I183" s="23">
        <v>16500</v>
      </c>
      <c r="J183" s="23">
        <v>0</v>
      </c>
      <c r="K183" s="23">
        <v>60</v>
      </c>
      <c r="L183" s="23">
        <v>15</v>
      </c>
      <c r="M183" s="23">
        <f>30*990</f>
        <v>29700</v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</row>
    <row r="184" spans="1:73" x14ac:dyDescent="0.2">
      <c r="A184" s="23">
        <v>65</v>
      </c>
      <c r="B184" s="23">
        <v>5200</v>
      </c>
      <c r="C184" s="23">
        <v>0</v>
      </c>
      <c r="D184" s="23">
        <v>0</v>
      </c>
      <c r="E184" s="23">
        <f>21000+18000</f>
        <v>39000</v>
      </c>
      <c r="F184" s="23">
        <f>2000+1000</f>
        <v>3000</v>
      </c>
      <c r="G184" s="23">
        <v>0</v>
      </c>
      <c r="H184" s="23">
        <v>0</v>
      </c>
      <c r="I184" s="23">
        <v>23000</v>
      </c>
      <c r="J184" s="23">
        <v>0</v>
      </c>
      <c r="K184" s="23">
        <v>200</v>
      </c>
      <c r="L184" s="23">
        <v>90</v>
      </c>
      <c r="M184" s="23">
        <f>42*110*20.5</f>
        <v>94710</v>
      </c>
      <c r="N184" s="23">
        <v>1250</v>
      </c>
      <c r="O184" s="23">
        <v>0</v>
      </c>
      <c r="P184" s="23">
        <v>0</v>
      </c>
      <c r="Q184" s="23">
        <v>23000</v>
      </c>
      <c r="R184" s="23">
        <v>5400</v>
      </c>
      <c r="S184" s="23">
        <v>5000</v>
      </c>
      <c r="T184" s="23">
        <v>0</v>
      </c>
      <c r="U184" s="23">
        <v>3700</v>
      </c>
      <c r="V184" s="23">
        <v>0</v>
      </c>
      <c r="W184" s="23">
        <v>620</v>
      </c>
      <c r="X184" s="23">
        <v>0</v>
      </c>
      <c r="Y184" s="23">
        <f>95*620</f>
        <v>58900</v>
      </c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</row>
    <row r="185" spans="1:73" x14ac:dyDescent="0.2">
      <c r="A185" s="23">
        <v>162</v>
      </c>
      <c r="B185" s="23">
        <v>1200</v>
      </c>
      <c r="C185" s="23">
        <v>0</v>
      </c>
      <c r="D185" s="23">
        <v>0</v>
      </c>
      <c r="E185" s="23">
        <v>10500</v>
      </c>
      <c r="F185" s="23">
        <f>100+50+250+500</f>
        <v>900</v>
      </c>
      <c r="G185" s="23">
        <v>0</v>
      </c>
      <c r="H185" s="23">
        <v>0</v>
      </c>
      <c r="I185" s="23">
        <f>2500+300+6000</f>
        <v>8800</v>
      </c>
      <c r="J185" s="23">
        <v>0</v>
      </c>
      <c r="K185" s="23">
        <v>25</v>
      </c>
      <c r="L185" s="23">
        <v>25</v>
      </c>
      <c r="M185" s="23">
        <v>0</v>
      </c>
      <c r="N185" s="23">
        <v>2500</v>
      </c>
      <c r="O185" s="23">
        <v>0</v>
      </c>
      <c r="P185" s="23">
        <v>0</v>
      </c>
      <c r="Q185" s="23">
        <v>20000</v>
      </c>
      <c r="R185" s="23">
        <f>150+500+900</f>
        <v>1550</v>
      </c>
      <c r="S185" s="23">
        <v>0</v>
      </c>
      <c r="T185" s="23">
        <v>0</v>
      </c>
      <c r="U185" s="23">
        <f>7300+12000</f>
        <v>19300</v>
      </c>
      <c r="V185" s="23">
        <v>0</v>
      </c>
      <c r="W185" s="23">
        <v>600</v>
      </c>
      <c r="X185" s="23">
        <v>0</v>
      </c>
      <c r="Y185" s="23">
        <f>600*95</f>
        <v>57000</v>
      </c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</row>
    <row r="186" spans="1:73" x14ac:dyDescent="0.2">
      <c r="A186" s="23">
        <v>158</v>
      </c>
      <c r="B186" s="23">
        <v>3600</v>
      </c>
      <c r="C186" s="23">
        <v>0</v>
      </c>
      <c r="D186" s="23">
        <v>0</v>
      </c>
      <c r="E186" s="23">
        <v>10000</v>
      </c>
      <c r="F186" s="23">
        <f>1500+500+750+4500</f>
        <v>7250</v>
      </c>
      <c r="G186" s="23">
        <v>0</v>
      </c>
      <c r="H186" s="23">
        <v>0</v>
      </c>
      <c r="I186" s="23">
        <v>17000</v>
      </c>
      <c r="J186" s="23">
        <v>0</v>
      </c>
      <c r="K186" s="23">
        <v>175</v>
      </c>
      <c r="L186" s="23">
        <v>50</v>
      </c>
      <c r="M186" s="23">
        <f>45*2750</f>
        <v>123750</v>
      </c>
      <c r="N186" s="23">
        <v>1875</v>
      </c>
      <c r="O186" s="23">
        <v>0</v>
      </c>
      <c r="P186" s="23">
        <v>0</v>
      </c>
      <c r="Q186" s="23">
        <v>4000</v>
      </c>
      <c r="R186" s="23">
        <f>200+200+400+1350</f>
        <v>2150</v>
      </c>
      <c r="S186" s="23">
        <v>0</v>
      </c>
      <c r="T186" s="23">
        <v>0</v>
      </c>
      <c r="U186" s="23">
        <f>2750+750+1000</f>
        <v>4500</v>
      </c>
      <c r="V186" s="23">
        <v>0</v>
      </c>
      <c r="W186" s="23">
        <v>497</v>
      </c>
      <c r="X186" s="23">
        <v>0</v>
      </c>
      <c r="Y186" s="23">
        <f>95*497</f>
        <v>47215</v>
      </c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>
        <v>2600</v>
      </c>
      <c r="AY186" s="23">
        <v>0</v>
      </c>
      <c r="AZ186" s="23">
        <v>0</v>
      </c>
      <c r="BA186" s="23">
        <v>800</v>
      </c>
      <c r="BB186" s="23">
        <v>34200</v>
      </c>
      <c r="BC186" s="23">
        <v>0</v>
      </c>
      <c r="BD186" s="23">
        <v>0</v>
      </c>
      <c r="BE186" s="23">
        <v>0</v>
      </c>
      <c r="BF186" s="23">
        <v>0</v>
      </c>
      <c r="BG186" s="23">
        <v>1500</v>
      </c>
      <c r="BH186" s="23">
        <v>0</v>
      </c>
      <c r="BI186" s="23">
        <f>20*1500</f>
        <v>30000</v>
      </c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</row>
    <row r="187" spans="1:73" x14ac:dyDescent="0.2">
      <c r="A187" s="23">
        <v>159</v>
      </c>
      <c r="B187" s="23">
        <v>7920</v>
      </c>
      <c r="C187" s="23">
        <v>0</v>
      </c>
      <c r="D187" s="23">
        <v>0</v>
      </c>
      <c r="E187" s="23">
        <f>7000+9000+5000+18000</f>
        <v>39000</v>
      </c>
      <c r="F187" s="23">
        <f>750+350+350+800+600</f>
        <v>2850</v>
      </c>
      <c r="G187" s="23">
        <v>0</v>
      </c>
      <c r="H187" s="23">
        <v>0</v>
      </c>
      <c r="I187" s="23">
        <v>23500</v>
      </c>
      <c r="J187" s="23">
        <v>0</v>
      </c>
      <c r="K187" s="23">
        <v>150</v>
      </c>
      <c r="L187" s="23">
        <v>50</v>
      </c>
      <c r="M187" s="23">
        <f>40*2200</f>
        <v>88000</v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>
        <v>44000</v>
      </c>
      <c r="AM187" s="23">
        <v>0</v>
      </c>
      <c r="AN187" s="23">
        <v>0</v>
      </c>
      <c r="AO187" s="23">
        <v>28000</v>
      </c>
      <c r="AP187" s="23">
        <v>30000</v>
      </c>
      <c r="AQ187" s="23">
        <v>0</v>
      </c>
      <c r="AR187" s="23">
        <v>0</v>
      </c>
      <c r="AS187" s="23">
        <v>30000</v>
      </c>
      <c r="AT187" s="23">
        <v>0</v>
      </c>
      <c r="AU187" s="23">
        <v>3875</v>
      </c>
      <c r="AV187" s="23">
        <v>0</v>
      </c>
      <c r="AW187" s="23">
        <f>85*3875</f>
        <v>329375</v>
      </c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</row>
    <row r="188" spans="1:73" x14ac:dyDescent="0.2">
      <c r="A188" s="23">
        <v>160</v>
      </c>
      <c r="B188" s="23">
        <v>1200</v>
      </c>
      <c r="C188" s="23">
        <v>0</v>
      </c>
      <c r="D188" s="23">
        <v>0</v>
      </c>
      <c r="E188" s="23">
        <v>17500</v>
      </c>
      <c r="F188" s="23">
        <f>100+20+100+1200</f>
        <v>1420</v>
      </c>
      <c r="G188" s="23">
        <v>0</v>
      </c>
      <c r="H188" s="23">
        <v>0</v>
      </c>
      <c r="I188" s="23">
        <v>4700</v>
      </c>
      <c r="J188" s="23">
        <v>0</v>
      </c>
      <c r="K188" s="23">
        <v>40</v>
      </c>
      <c r="L188" s="23">
        <v>40</v>
      </c>
      <c r="M188" s="23">
        <v>0</v>
      </c>
      <c r="N188" s="23">
        <v>3125</v>
      </c>
      <c r="O188" s="23">
        <v>0</v>
      </c>
      <c r="P188" s="23">
        <v>0</v>
      </c>
      <c r="Q188" s="23">
        <v>41000</v>
      </c>
      <c r="R188" s="23">
        <f>750+1200+2400</f>
        <v>4350</v>
      </c>
      <c r="S188" s="23">
        <v>0</v>
      </c>
      <c r="T188" s="23">
        <v>0</v>
      </c>
      <c r="U188" s="23">
        <f>5500+200+19000</f>
        <v>24700</v>
      </c>
      <c r="V188" s="23">
        <v>0</v>
      </c>
      <c r="W188" s="23">
        <v>1200</v>
      </c>
      <c r="X188" s="23">
        <v>0</v>
      </c>
      <c r="Y188" s="23">
        <f>95*1200</f>
        <v>114000</v>
      </c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</row>
    <row r="189" spans="1:73" x14ac:dyDescent="0.2">
      <c r="A189" s="23">
        <v>161</v>
      </c>
      <c r="B189" s="23">
        <v>600</v>
      </c>
      <c r="C189" s="23">
        <v>0</v>
      </c>
      <c r="D189" s="23">
        <v>0</v>
      </c>
      <c r="E189" s="23">
        <v>3000</v>
      </c>
      <c r="F189" s="23">
        <v>350</v>
      </c>
      <c r="G189" s="23">
        <v>0</v>
      </c>
      <c r="H189" s="23">
        <v>0</v>
      </c>
      <c r="I189" s="23">
        <v>2000</v>
      </c>
      <c r="J189" s="23">
        <v>0</v>
      </c>
      <c r="K189" s="23">
        <v>8</v>
      </c>
      <c r="L189" s="23">
        <v>8</v>
      </c>
      <c r="M189" s="23">
        <v>0</v>
      </c>
      <c r="N189" s="23">
        <v>5000</v>
      </c>
      <c r="O189" s="23">
        <v>0</v>
      </c>
      <c r="P189" s="23">
        <v>0</v>
      </c>
      <c r="Q189" s="23">
        <v>18000</v>
      </c>
      <c r="R189" s="23">
        <v>750</v>
      </c>
      <c r="S189" s="23">
        <v>0</v>
      </c>
      <c r="T189" s="23">
        <v>0</v>
      </c>
      <c r="U189" s="23">
        <v>45000</v>
      </c>
      <c r="V189" s="23">
        <v>0</v>
      </c>
      <c r="W189" s="23">
        <v>1560</v>
      </c>
      <c r="X189" s="23">
        <v>0</v>
      </c>
      <c r="Y189" s="23">
        <f>95*1560</f>
        <v>148200</v>
      </c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</row>
    <row r="190" spans="1:73" x14ac:dyDescent="0.2">
      <c r="A190" s="23">
        <v>215</v>
      </c>
      <c r="B190" s="23">
        <v>7600</v>
      </c>
      <c r="C190" s="23">
        <v>0</v>
      </c>
      <c r="D190" s="23">
        <v>0</v>
      </c>
      <c r="E190" s="23">
        <f>30000+21000+(3500*3)</f>
        <v>61500</v>
      </c>
      <c r="F190" s="23">
        <f>3600+4200+1400+5400</f>
        <v>14600</v>
      </c>
      <c r="G190" s="23">
        <v>0</v>
      </c>
      <c r="H190" s="23">
        <v>0</v>
      </c>
      <c r="I190" s="23">
        <v>37000</v>
      </c>
      <c r="J190" s="23">
        <v>0</v>
      </c>
      <c r="K190" s="23">
        <v>300</v>
      </c>
      <c r="L190" s="23">
        <v>50</v>
      </c>
      <c r="M190" s="23">
        <f>45*250*20.5</f>
        <v>230625</v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</row>
    <row r="191" spans="1:73" x14ac:dyDescent="0.2">
      <c r="A191" s="23">
        <v>57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>
        <v>3000</v>
      </c>
      <c r="O191" s="23">
        <v>0</v>
      </c>
      <c r="P191" s="23">
        <v>0</v>
      </c>
      <c r="Q191" s="23">
        <v>8500</v>
      </c>
      <c r="R191" s="23">
        <v>1520</v>
      </c>
      <c r="S191" s="23">
        <v>0</v>
      </c>
      <c r="T191" s="23">
        <v>0</v>
      </c>
      <c r="U191" s="23">
        <v>10100</v>
      </c>
      <c r="V191" s="23">
        <v>0</v>
      </c>
      <c r="W191" s="23">
        <v>1200</v>
      </c>
      <c r="X191" s="23">
        <v>0</v>
      </c>
      <c r="Y191" s="23">
        <f>95*1200</f>
        <v>114000</v>
      </c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</row>
    <row r="192" spans="1:73" x14ac:dyDescent="0.2">
      <c r="A192" s="29">
        <v>166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>
        <v>50000</v>
      </c>
      <c r="AY192" s="29">
        <v>0</v>
      </c>
      <c r="AZ192" s="29">
        <v>0</v>
      </c>
      <c r="BA192" s="29">
        <v>50000</v>
      </c>
      <c r="BB192" s="29">
        <v>2500</v>
      </c>
      <c r="BC192" s="29">
        <v>7500</v>
      </c>
      <c r="BD192" s="29">
        <v>0</v>
      </c>
      <c r="BE192" s="29">
        <v>30000</v>
      </c>
      <c r="BF192" s="29">
        <v>0</v>
      </c>
      <c r="BG192" s="29">
        <v>4000</v>
      </c>
      <c r="BH192" s="29">
        <v>0</v>
      </c>
      <c r="BI192" s="29">
        <f>40*4000</f>
        <v>160000</v>
      </c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</row>
    <row r="193" spans="1:73" s="53" customFormat="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</row>
    <row r="194" spans="1:73" x14ac:dyDescent="0.2">
      <c r="A194" s="30">
        <v>167</v>
      </c>
      <c r="B194" s="30">
        <v>1320</v>
      </c>
      <c r="C194" s="30">
        <v>0</v>
      </c>
      <c r="D194" s="30">
        <v>0</v>
      </c>
      <c r="E194" s="30">
        <v>6500</v>
      </c>
      <c r="F194" s="30">
        <f>(125*10)+1200</f>
        <v>2450</v>
      </c>
      <c r="G194" s="30">
        <v>0</v>
      </c>
      <c r="H194" s="30">
        <v>0</v>
      </c>
      <c r="I194" s="30">
        <v>5500</v>
      </c>
      <c r="J194" s="30">
        <v>0</v>
      </c>
      <c r="K194" s="30">
        <v>25</v>
      </c>
      <c r="L194" s="30">
        <v>25</v>
      </c>
      <c r="M194" s="30">
        <v>0</v>
      </c>
      <c r="N194" s="30">
        <v>3000</v>
      </c>
      <c r="O194" s="30">
        <v>0</v>
      </c>
      <c r="P194" s="30">
        <v>0</v>
      </c>
      <c r="Q194" s="30">
        <v>31000</v>
      </c>
      <c r="R194" s="30">
        <v>4000</v>
      </c>
      <c r="S194" s="30">
        <v>0</v>
      </c>
      <c r="T194" s="30">
        <v>0</v>
      </c>
      <c r="U194" s="30">
        <v>20500</v>
      </c>
      <c r="V194" s="30">
        <v>0</v>
      </c>
      <c r="W194" s="30">
        <v>826</v>
      </c>
      <c r="X194" s="30">
        <v>0</v>
      </c>
      <c r="Y194" s="30">
        <f>95*826</f>
        <v>78470</v>
      </c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 spans="1:73" x14ac:dyDescent="0.2">
      <c r="A195" s="23">
        <v>166</v>
      </c>
      <c r="B195" s="23">
        <v>7200</v>
      </c>
      <c r="C195" s="23">
        <v>0</v>
      </c>
      <c r="D195" s="23">
        <v>0</v>
      </c>
      <c r="E195" s="23">
        <v>75000</v>
      </c>
      <c r="F195" s="23">
        <f>5000+1200+1000</f>
        <v>7200</v>
      </c>
      <c r="G195" s="23">
        <v>0</v>
      </c>
      <c r="H195" s="23">
        <v>0</v>
      </c>
      <c r="I195" s="23">
        <v>33000</v>
      </c>
      <c r="J195" s="23">
        <v>0</v>
      </c>
      <c r="K195" s="23">
        <v>290</v>
      </c>
      <c r="L195" s="23">
        <v>30</v>
      </c>
      <c r="M195" s="23">
        <f>42*5720</f>
        <v>240240</v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</row>
    <row r="196" spans="1:73" x14ac:dyDescent="0.2">
      <c r="A196" s="23">
        <v>64</v>
      </c>
      <c r="B196" s="23">
        <v>10010</v>
      </c>
      <c r="C196" s="23">
        <v>0</v>
      </c>
      <c r="D196" s="23">
        <v>0</v>
      </c>
      <c r="E196" s="23">
        <v>30000</v>
      </c>
      <c r="F196" s="23">
        <f>((270+65+65)*10)+6500</f>
        <v>10500</v>
      </c>
      <c r="G196" s="23">
        <v>0</v>
      </c>
      <c r="H196" s="23">
        <v>0</v>
      </c>
      <c r="I196" s="23">
        <v>36500</v>
      </c>
      <c r="J196" s="23">
        <v>0</v>
      </c>
      <c r="K196" s="23">
        <v>320</v>
      </c>
      <c r="L196" s="23">
        <v>55</v>
      </c>
      <c r="M196" s="23">
        <f>30*5830</f>
        <v>174900</v>
      </c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</row>
    <row r="197" spans="1:73" x14ac:dyDescent="0.2">
      <c r="A197" s="23">
        <v>228</v>
      </c>
      <c r="B197" s="23">
        <f>5.5*1200</f>
        <v>6600</v>
      </c>
      <c r="C197" s="23">
        <v>0</v>
      </c>
      <c r="D197" s="23">
        <v>0</v>
      </c>
      <c r="E197" s="23">
        <v>28000</v>
      </c>
      <c r="F197" s="23">
        <f>2400+(4.5*1300)+3000</f>
        <v>11250</v>
      </c>
      <c r="G197" s="23">
        <v>0</v>
      </c>
      <c r="H197" s="23">
        <v>0</v>
      </c>
      <c r="I197" s="23">
        <f>13000+17500+7000+400</f>
        <v>37900</v>
      </c>
      <c r="J197" s="23">
        <v>0</v>
      </c>
      <c r="K197" s="23">
        <v>205</v>
      </c>
      <c r="L197" s="23">
        <f>2.5*12</f>
        <v>30</v>
      </c>
      <c r="M197" s="23">
        <f>(31*2500)+102500</f>
        <v>180000</v>
      </c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>
        <v>10000</v>
      </c>
      <c r="AY197" s="23">
        <v>0</v>
      </c>
      <c r="AZ197" s="23">
        <v>0</v>
      </c>
      <c r="BA197" s="23">
        <v>6500</v>
      </c>
      <c r="BB197" s="23">
        <v>30000</v>
      </c>
      <c r="BC197" s="23">
        <v>0</v>
      </c>
      <c r="BD197" s="23">
        <v>0</v>
      </c>
      <c r="BE197" s="23">
        <f>650*4</f>
        <v>2600</v>
      </c>
      <c r="BF197" s="23">
        <v>0</v>
      </c>
      <c r="BG197" s="23">
        <v>0</v>
      </c>
      <c r="BH197" s="23">
        <v>0</v>
      </c>
      <c r="BI197" s="23">
        <v>150000</v>
      </c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</row>
    <row r="198" spans="1:73" x14ac:dyDescent="0.2">
      <c r="A198" s="23">
        <v>316</v>
      </c>
      <c r="B198" s="23">
        <f>7*1900</f>
        <v>13300</v>
      </c>
      <c r="C198" s="23">
        <v>0</v>
      </c>
      <c r="D198" s="23">
        <v>0</v>
      </c>
      <c r="E198" s="23">
        <f>3750+7500+15000</f>
        <v>26250</v>
      </c>
      <c r="F198" s="23">
        <f>((105+66)*10)+(6*1200)</f>
        <v>8910</v>
      </c>
      <c r="G198" s="23">
        <v>0</v>
      </c>
      <c r="H198" s="23">
        <v>0</v>
      </c>
      <c r="I198" s="23">
        <v>15000</v>
      </c>
      <c r="J198" s="23">
        <v>0</v>
      </c>
      <c r="K198" s="23">
        <v>125</v>
      </c>
      <c r="L198" s="23">
        <v>25</v>
      </c>
      <c r="M198" s="23">
        <f>34*2000</f>
        <v>68000</v>
      </c>
      <c r="N198" s="23">
        <f>120*40</f>
        <v>4800</v>
      </c>
      <c r="O198" s="23">
        <v>0</v>
      </c>
      <c r="P198" s="23">
        <v>0</v>
      </c>
      <c r="Q198" s="23">
        <v>50000</v>
      </c>
      <c r="R198" s="23">
        <f>7*1300</f>
        <v>9100</v>
      </c>
      <c r="S198" s="23">
        <v>1000</v>
      </c>
      <c r="T198" s="23">
        <v>0</v>
      </c>
      <c r="U198" s="23">
        <v>20000</v>
      </c>
      <c r="V198" s="23">
        <v>0</v>
      </c>
      <c r="W198" s="23">
        <v>1700</v>
      </c>
      <c r="X198" s="23">
        <v>0</v>
      </c>
      <c r="Y198" s="23">
        <f>95*1700</f>
        <v>161500</v>
      </c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</row>
    <row r="199" spans="1:73" x14ac:dyDescent="0.2">
      <c r="A199" s="23">
        <v>268</v>
      </c>
      <c r="B199" s="23">
        <f>55*80</f>
        <v>4400</v>
      </c>
      <c r="C199" s="23">
        <v>0</v>
      </c>
      <c r="D199" s="23">
        <v>0</v>
      </c>
      <c r="E199" s="23">
        <v>18000</v>
      </c>
      <c r="F199" s="23">
        <f>2200+875+3400</f>
        <v>6475</v>
      </c>
      <c r="G199" s="23">
        <v>0</v>
      </c>
      <c r="H199" s="23">
        <v>0</v>
      </c>
      <c r="I199" s="23">
        <v>16200</v>
      </c>
      <c r="J199" s="23">
        <v>0</v>
      </c>
      <c r="K199" s="23">
        <v>130</v>
      </c>
      <c r="L199" s="23">
        <v>30</v>
      </c>
      <c r="M199" s="23">
        <f>29*100*20.5</f>
        <v>59450</v>
      </c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</row>
    <row r="200" spans="1:73" x14ac:dyDescent="0.2">
      <c r="A200" s="23">
        <v>66</v>
      </c>
      <c r="B200" s="23">
        <v>4000</v>
      </c>
      <c r="C200" s="23">
        <v>0</v>
      </c>
      <c r="D200" s="23">
        <v>0</v>
      </c>
      <c r="E200" s="23">
        <v>17500</v>
      </c>
      <c r="F200" s="23">
        <v>1450</v>
      </c>
      <c r="G200" s="23">
        <v>0</v>
      </c>
      <c r="H200" s="23">
        <v>0</v>
      </c>
      <c r="I200" s="23">
        <v>14000</v>
      </c>
      <c r="J200" s="23">
        <v>0</v>
      </c>
      <c r="K200" s="23">
        <v>70</v>
      </c>
      <c r="L200" s="23">
        <v>20</v>
      </c>
      <c r="M200" s="23">
        <f>32*1100</f>
        <v>35200</v>
      </c>
      <c r="N200" s="23">
        <v>250</v>
      </c>
      <c r="O200" s="23">
        <v>0</v>
      </c>
      <c r="P200" s="23">
        <v>0</v>
      </c>
      <c r="Q200" s="23">
        <v>14000</v>
      </c>
      <c r="R200" s="23">
        <v>770</v>
      </c>
      <c r="S200" s="23">
        <v>0</v>
      </c>
      <c r="T200" s="23">
        <v>0</v>
      </c>
      <c r="U200" s="23">
        <f>3900+14000</f>
        <v>17900</v>
      </c>
      <c r="V200" s="23">
        <v>0</v>
      </c>
      <c r="W200" s="23">
        <v>600</v>
      </c>
      <c r="X200" s="23">
        <v>0</v>
      </c>
      <c r="Y200" s="23">
        <f>95*600</f>
        <v>57000</v>
      </c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</row>
    <row r="201" spans="1:73" x14ac:dyDescent="0.2">
      <c r="A201" s="23">
        <v>68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>
        <v>1500</v>
      </c>
      <c r="O201" s="23">
        <v>0</v>
      </c>
      <c r="P201" s="23">
        <v>0</v>
      </c>
      <c r="Q201" s="23">
        <v>7000</v>
      </c>
      <c r="R201" s="23">
        <f>1350+700</f>
        <v>2050</v>
      </c>
      <c r="S201" s="23">
        <v>4000</v>
      </c>
      <c r="T201" s="23">
        <v>0</v>
      </c>
      <c r="U201" s="23">
        <v>6850</v>
      </c>
      <c r="V201" s="23">
        <v>0</v>
      </c>
      <c r="W201" s="23">
        <v>700</v>
      </c>
      <c r="X201" s="23">
        <v>0</v>
      </c>
      <c r="Y201" s="23">
        <f>95*700</f>
        <v>66500</v>
      </c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</row>
    <row r="202" spans="1:73" x14ac:dyDescent="0.2">
      <c r="A202" s="23">
        <v>67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>
        <v>8000</v>
      </c>
      <c r="AY202" s="23">
        <v>0</v>
      </c>
      <c r="AZ202" s="23">
        <v>0</v>
      </c>
      <c r="BA202" s="23">
        <v>2000</v>
      </c>
      <c r="BB202" s="23">
        <v>7000</v>
      </c>
      <c r="BC202" s="23">
        <v>0</v>
      </c>
      <c r="BD202" s="23">
        <v>0</v>
      </c>
      <c r="BE202" s="23">
        <v>7000</v>
      </c>
      <c r="BF202" s="23">
        <v>0</v>
      </c>
      <c r="BG202" s="23">
        <v>3000</v>
      </c>
      <c r="BH202" s="23">
        <v>0</v>
      </c>
      <c r="BI202" s="23">
        <f>40*3000</f>
        <v>120000</v>
      </c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</row>
    <row r="203" spans="1:73" x14ac:dyDescent="0.2">
      <c r="A203" s="23">
        <v>168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>
        <v>2200</v>
      </c>
      <c r="O203" s="23">
        <v>0</v>
      </c>
      <c r="P203" s="23">
        <v>0</v>
      </c>
      <c r="Q203" s="23">
        <v>5000</v>
      </c>
      <c r="R203" s="23">
        <v>1550</v>
      </c>
      <c r="S203" s="23">
        <v>0</v>
      </c>
      <c r="T203" s="23">
        <v>0</v>
      </c>
      <c r="U203" s="23">
        <v>2600</v>
      </c>
      <c r="V203" s="23">
        <v>0</v>
      </c>
      <c r="W203" s="23">
        <v>460</v>
      </c>
      <c r="X203" s="23">
        <v>0</v>
      </c>
      <c r="Y203" s="23">
        <f>460*90</f>
        <v>41400</v>
      </c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</row>
    <row r="204" spans="1:73" x14ac:dyDescent="0.2">
      <c r="A204" s="29">
        <v>179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>
        <v>550</v>
      </c>
      <c r="O204" s="29">
        <v>0</v>
      </c>
      <c r="P204" s="29">
        <v>0</v>
      </c>
      <c r="Q204" s="29">
        <v>1500</v>
      </c>
      <c r="R204" s="29">
        <f>350+900+500</f>
        <v>1750</v>
      </c>
      <c r="S204" s="29">
        <v>0</v>
      </c>
      <c r="T204" s="29">
        <v>0</v>
      </c>
      <c r="U204" s="29">
        <v>1800</v>
      </c>
      <c r="V204" s="29">
        <v>0</v>
      </c>
      <c r="W204" s="29">
        <v>500</v>
      </c>
      <c r="X204" s="29">
        <v>0</v>
      </c>
      <c r="Y204" s="29">
        <f>100*500</f>
        <v>50000</v>
      </c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</row>
    <row r="205" spans="1:73" s="53" customFormat="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</row>
    <row r="206" spans="1:73" x14ac:dyDescent="0.2">
      <c r="A206" s="30">
        <v>72</v>
      </c>
      <c r="B206" s="30">
        <v>2400</v>
      </c>
      <c r="C206" s="30">
        <v>0</v>
      </c>
      <c r="D206" s="30">
        <v>0</v>
      </c>
      <c r="E206" s="30">
        <v>4000</v>
      </c>
      <c r="F206" s="30">
        <f>((60+12.5+12.5)*10)+700</f>
        <v>1550</v>
      </c>
      <c r="G206" s="30">
        <v>0</v>
      </c>
      <c r="H206" s="30">
        <v>0</v>
      </c>
      <c r="I206" s="30">
        <v>5000</v>
      </c>
      <c r="J206" s="30">
        <v>0</v>
      </c>
      <c r="K206" s="30">
        <v>50</v>
      </c>
      <c r="L206" s="30">
        <v>25</v>
      </c>
      <c r="M206" s="30">
        <f>35*550</f>
        <v>19250</v>
      </c>
      <c r="N206" s="30">
        <v>2500</v>
      </c>
      <c r="O206" s="30">
        <v>0</v>
      </c>
      <c r="P206" s="30">
        <v>0</v>
      </c>
      <c r="Q206" s="30">
        <v>8000</v>
      </c>
      <c r="R206" s="30">
        <f>600+4440</f>
        <v>5040</v>
      </c>
      <c r="S206" s="30">
        <v>0</v>
      </c>
      <c r="T206" s="30">
        <v>0</v>
      </c>
      <c r="U206" s="30">
        <v>500</v>
      </c>
      <c r="V206" s="30">
        <v>0</v>
      </c>
      <c r="W206" s="30">
        <v>1200</v>
      </c>
      <c r="X206" s="30">
        <v>0</v>
      </c>
      <c r="Y206" s="30">
        <f>95*1200</f>
        <v>114000</v>
      </c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 spans="1:73" x14ac:dyDescent="0.2">
      <c r="A207" s="23">
        <v>74</v>
      </c>
      <c r="B207" s="23">
        <v>5280</v>
      </c>
      <c r="C207" s="23">
        <v>0</v>
      </c>
      <c r="D207" s="23">
        <v>0</v>
      </c>
      <c r="E207" s="23">
        <f>11000+13500</f>
        <v>24500</v>
      </c>
      <c r="F207" s="23">
        <f>((125+25+25)*10)+3500</f>
        <v>5250</v>
      </c>
      <c r="G207" s="23">
        <v>1000</v>
      </c>
      <c r="H207" s="23">
        <v>0</v>
      </c>
      <c r="I207" s="23">
        <v>16500</v>
      </c>
      <c r="J207" s="23">
        <v>0</v>
      </c>
      <c r="K207" s="23">
        <v>90</v>
      </c>
      <c r="L207" s="23">
        <v>10</v>
      </c>
      <c r="M207" s="23">
        <f>34*1760</f>
        <v>59840</v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</row>
    <row r="208" spans="1:73" x14ac:dyDescent="0.2">
      <c r="A208" s="23">
        <v>176</v>
      </c>
      <c r="B208" s="23">
        <v>6600</v>
      </c>
      <c r="C208" s="23">
        <v>0</v>
      </c>
      <c r="D208" s="23">
        <v>0</v>
      </c>
      <c r="E208" s="23">
        <f>16000+20000+4000</f>
        <v>40000</v>
      </c>
      <c r="F208" s="23">
        <f>((100+25+25)*10)</f>
        <v>1500</v>
      </c>
      <c r="G208" s="23">
        <v>0</v>
      </c>
      <c r="H208" s="23">
        <v>0</v>
      </c>
      <c r="I208" s="23">
        <f>20000+4800+500</f>
        <v>25300</v>
      </c>
      <c r="J208" s="23">
        <v>0</v>
      </c>
      <c r="K208" s="23">
        <v>60</v>
      </c>
      <c r="L208" s="23">
        <v>30</v>
      </c>
      <c r="M208" s="23">
        <f>32*660</f>
        <v>21120</v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</row>
    <row r="209" spans="1:73" x14ac:dyDescent="0.2">
      <c r="A209" s="23">
        <v>175</v>
      </c>
      <c r="B209" s="23">
        <v>1320</v>
      </c>
      <c r="C209" s="23">
        <v>0</v>
      </c>
      <c r="D209" s="23">
        <v>0</v>
      </c>
      <c r="E209" s="23">
        <v>4500</v>
      </c>
      <c r="F209" s="23">
        <f>(50+17+10)*10</f>
        <v>770</v>
      </c>
      <c r="G209" s="23">
        <v>0</v>
      </c>
      <c r="H209" s="23">
        <v>0</v>
      </c>
      <c r="I209" s="23">
        <v>5500</v>
      </c>
      <c r="J209" s="23">
        <v>0</v>
      </c>
      <c r="K209" s="23">
        <v>35</v>
      </c>
      <c r="L209" s="23">
        <v>15</v>
      </c>
      <c r="M209" s="23">
        <f>28*330</f>
        <v>9240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</row>
    <row r="210" spans="1:73" x14ac:dyDescent="0.2">
      <c r="A210" s="23">
        <v>174</v>
      </c>
      <c r="B210" s="23">
        <v>9240</v>
      </c>
      <c r="C210" s="23">
        <v>0</v>
      </c>
      <c r="D210" s="23">
        <v>0</v>
      </c>
      <c r="E210" s="23">
        <v>3000</v>
      </c>
      <c r="F210" s="23">
        <f>((200+50+62)*10)+3000</f>
        <v>6120</v>
      </c>
      <c r="G210" s="23">
        <v>0</v>
      </c>
      <c r="H210" s="23">
        <v>0</v>
      </c>
      <c r="I210" s="23">
        <v>7800</v>
      </c>
      <c r="J210" s="23">
        <v>0</v>
      </c>
      <c r="K210" s="23">
        <v>150</v>
      </c>
      <c r="L210" s="23">
        <v>50</v>
      </c>
      <c r="M210" s="23">
        <f>30*2200</f>
        <v>66000</v>
      </c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</row>
    <row r="211" spans="1:73" x14ac:dyDescent="0.2">
      <c r="A211" s="23">
        <v>173</v>
      </c>
      <c r="B211" s="23">
        <v>7700</v>
      </c>
      <c r="C211" s="23">
        <v>0</v>
      </c>
      <c r="D211" s="23">
        <v>0</v>
      </c>
      <c r="E211" s="23">
        <v>14000</v>
      </c>
      <c r="F211" s="23">
        <f>3600+1100</f>
        <v>4700</v>
      </c>
      <c r="G211" s="23">
        <v>0</v>
      </c>
      <c r="H211" s="23">
        <v>0</v>
      </c>
      <c r="I211" s="23">
        <v>18000</v>
      </c>
      <c r="J211" s="23">
        <v>0</v>
      </c>
      <c r="K211" s="23">
        <v>115</v>
      </c>
      <c r="L211" s="23">
        <v>25</v>
      </c>
      <c r="M211" s="23">
        <f>(29*330)+53812.5</f>
        <v>63382.5</v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</row>
    <row r="212" spans="1:73" x14ac:dyDescent="0.2">
      <c r="A212" s="23">
        <v>172</v>
      </c>
      <c r="B212" s="23">
        <v>7200</v>
      </c>
      <c r="C212" s="23">
        <v>0</v>
      </c>
      <c r="D212" s="23">
        <v>0</v>
      </c>
      <c r="E212" s="23">
        <f>1000+7000+25000+6000</f>
        <v>39000</v>
      </c>
      <c r="F212" s="23">
        <f>((250)*10)+6700</f>
        <v>9200</v>
      </c>
      <c r="G212" s="23">
        <v>0</v>
      </c>
      <c r="H212" s="23">
        <v>0</v>
      </c>
      <c r="I212" s="23">
        <v>13000</v>
      </c>
      <c r="J212" s="23">
        <v>0</v>
      </c>
      <c r="K212" s="23">
        <v>300</v>
      </c>
      <c r="L212" s="23">
        <v>40</v>
      </c>
      <c r="M212" s="23">
        <f>32*5720</f>
        <v>183040</v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</row>
    <row r="213" spans="1:73" x14ac:dyDescent="0.2">
      <c r="A213" s="23">
        <v>171</v>
      </c>
      <c r="B213" s="23">
        <v>9240</v>
      </c>
      <c r="C213" s="23">
        <v>0</v>
      </c>
      <c r="D213" s="23">
        <v>0</v>
      </c>
      <c r="E213" s="23">
        <v>57000</v>
      </c>
      <c r="F213" s="23">
        <f>((200+50+75)*10)+6500+8200</f>
        <v>17950</v>
      </c>
      <c r="G213" s="23">
        <v>0</v>
      </c>
      <c r="H213" s="23">
        <v>0</v>
      </c>
      <c r="I213" s="23">
        <v>49500</v>
      </c>
      <c r="J213" s="23">
        <v>0</v>
      </c>
      <c r="K213" s="23">
        <v>325</v>
      </c>
      <c r="L213" s="23">
        <v>25</v>
      </c>
      <c r="M213" s="23">
        <f>31*6600</f>
        <v>204600</v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</row>
    <row r="214" spans="1:73" x14ac:dyDescent="0.2">
      <c r="A214" s="23">
        <v>71</v>
      </c>
      <c r="B214" s="23">
        <v>2772</v>
      </c>
      <c r="C214" s="23">
        <v>0</v>
      </c>
      <c r="D214" s="23">
        <v>0</v>
      </c>
      <c r="E214" s="23">
        <f>10000+10000+12000+18000</f>
        <v>50000</v>
      </c>
      <c r="F214" s="23">
        <f>((225+100+100)*10)+1500+5000</f>
        <v>10750</v>
      </c>
      <c r="G214" s="23">
        <v>0</v>
      </c>
      <c r="H214" s="23">
        <v>0</v>
      </c>
      <c r="I214" s="23">
        <f>2000+22000</f>
        <v>24000</v>
      </c>
      <c r="J214" s="23">
        <v>0</v>
      </c>
      <c r="K214" s="23">
        <v>200</v>
      </c>
      <c r="L214" s="23">
        <v>25</v>
      </c>
      <c r="M214" s="23">
        <f>27*3850</f>
        <v>103950</v>
      </c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</row>
    <row r="215" spans="1:73" x14ac:dyDescent="0.2">
      <c r="A215" s="23">
        <v>70</v>
      </c>
      <c r="B215" s="23">
        <v>15120</v>
      </c>
      <c r="C215" s="23">
        <v>0</v>
      </c>
      <c r="D215" s="23">
        <v>0</v>
      </c>
      <c r="E215" s="23">
        <f>18000+27000</f>
        <v>45000</v>
      </c>
      <c r="F215" s="23">
        <f>((300+60+72)*10)+4320+4000+8000</f>
        <v>20640</v>
      </c>
      <c r="G215" s="23">
        <v>1000</v>
      </c>
      <c r="H215" s="23">
        <v>0</v>
      </c>
      <c r="I215" s="23">
        <v>66000</v>
      </c>
      <c r="J215" s="23">
        <v>0</v>
      </c>
      <c r="K215" s="23">
        <v>225</v>
      </c>
      <c r="L215" s="23">
        <v>40</v>
      </c>
      <c r="M215" s="23">
        <f>26*4070</f>
        <v>105820</v>
      </c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</row>
    <row r="216" spans="1:73" x14ac:dyDescent="0.2">
      <c r="A216" s="23">
        <v>69</v>
      </c>
      <c r="B216" s="23">
        <v>8580</v>
      </c>
      <c r="C216" s="23">
        <v>0</v>
      </c>
      <c r="D216" s="23">
        <v>0</v>
      </c>
      <c r="E216" s="23">
        <v>71000</v>
      </c>
      <c r="F216" s="23">
        <f>((300+300)*10)</f>
        <v>6000</v>
      </c>
      <c r="G216" s="23">
        <v>0</v>
      </c>
      <c r="H216" s="23">
        <v>0</v>
      </c>
      <c r="I216" s="23">
        <v>27000</v>
      </c>
      <c r="J216" s="23">
        <v>0</v>
      </c>
      <c r="K216" s="23">
        <v>150</v>
      </c>
      <c r="L216" s="23">
        <v>25</v>
      </c>
      <c r="M216" s="23">
        <f>35*2640</f>
        <v>92400</v>
      </c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</row>
    <row r="217" spans="1:73" x14ac:dyDescent="0.2">
      <c r="A217" s="23">
        <v>177</v>
      </c>
      <c r="B217" s="23">
        <v>1080</v>
      </c>
      <c r="C217" s="23">
        <v>0</v>
      </c>
      <c r="D217" s="23">
        <v>0</v>
      </c>
      <c r="E217" s="23">
        <v>10000</v>
      </c>
      <c r="F217" s="23">
        <f>(90*10)+3500+2000</f>
        <v>6400</v>
      </c>
      <c r="G217" s="23">
        <v>0</v>
      </c>
      <c r="H217" s="23">
        <v>0</v>
      </c>
      <c r="I217" s="23">
        <v>6000</v>
      </c>
      <c r="J217" s="23">
        <v>0</v>
      </c>
      <c r="K217" s="23">
        <v>35</v>
      </c>
      <c r="L217" s="23">
        <v>35</v>
      </c>
      <c r="M217" s="23">
        <v>0</v>
      </c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</row>
    <row r="218" spans="1:73" x14ac:dyDescent="0.2">
      <c r="A218" s="23">
        <v>75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>
        <v>1800</v>
      </c>
      <c r="O218" s="23">
        <v>0</v>
      </c>
      <c r="P218" s="23">
        <v>0</v>
      </c>
      <c r="Q218" s="23">
        <v>11000</v>
      </c>
      <c r="R218" s="23">
        <f>550+480+1000</f>
        <v>2030</v>
      </c>
      <c r="S218" s="23">
        <v>0</v>
      </c>
      <c r="T218" s="23">
        <v>0</v>
      </c>
      <c r="U218" s="23">
        <v>12100</v>
      </c>
      <c r="V218" s="23">
        <v>0</v>
      </c>
      <c r="W218" s="23">
        <v>550</v>
      </c>
      <c r="X218" s="23">
        <v>0</v>
      </c>
      <c r="Y218" s="23">
        <f>95*550</f>
        <v>52250</v>
      </c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</row>
    <row r="219" spans="1:73" x14ac:dyDescent="0.2">
      <c r="A219" s="29">
        <v>73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>
        <v>2500</v>
      </c>
      <c r="O219" s="29">
        <v>0</v>
      </c>
      <c r="P219" s="29">
        <v>0</v>
      </c>
      <c r="Q219" s="29">
        <v>46000</v>
      </c>
      <c r="R219" s="29">
        <v>5800</v>
      </c>
      <c r="S219" s="29">
        <v>24000</v>
      </c>
      <c r="T219" s="29">
        <v>0</v>
      </c>
      <c r="U219" s="29">
        <v>30000</v>
      </c>
      <c r="V219" s="29">
        <v>0</v>
      </c>
      <c r="W219" s="29">
        <v>900</v>
      </c>
      <c r="X219" s="29">
        <v>0</v>
      </c>
      <c r="Y219" s="29">
        <f>95*900</f>
        <v>85500</v>
      </c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</row>
    <row r="220" spans="1:73" s="53" customFormat="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</row>
    <row r="221" spans="1:73" x14ac:dyDescent="0.2">
      <c r="A221" s="30">
        <v>216</v>
      </c>
      <c r="B221" s="30">
        <f>(1700/2)+1700</f>
        <v>2550</v>
      </c>
      <c r="C221" s="30">
        <v>0</v>
      </c>
      <c r="D221" s="30">
        <v>0</v>
      </c>
      <c r="E221" s="30">
        <v>2500</v>
      </c>
      <c r="F221" s="30">
        <v>1250</v>
      </c>
      <c r="G221" s="30">
        <v>0</v>
      </c>
      <c r="H221" s="30">
        <v>0</v>
      </c>
      <c r="I221" s="30">
        <f>1500+3000+1500</f>
        <v>6000</v>
      </c>
      <c r="J221" s="30">
        <v>0</v>
      </c>
      <c r="K221" s="30">
        <v>60</v>
      </c>
      <c r="L221" s="30">
        <v>60</v>
      </c>
      <c r="M221" s="30">
        <v>0</v>
      </c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>
        <v>25000</v>
      </c>
      <c r="AM221" s="30">
        <v>0</v>
      </c>
      <c r="AN221" s="30">
        <v>0</v>
      </c>
      <c r="AO221" s="30">
        <v>13000</v>
      </c>
      <c r="AP221" s="30">
        <v>1500</v>
      </c>
      <c r="AQ221" s="30">
        <v>4250</v>
      </c>
      <c r="AR221" s="30">
        <v>0</v>
      </c>
      <c r="AS221" s="30">
        <v>5000</v>
      </c>
      <c r="AT221" s="30">
        <v>0</v>
      </c>
      <c r="AU221" s="30">
        <v>1154</v>
      </c>
      <c r="AV221" s="30">
        <v>0</v>
      </c>
      <c r="AW221" s="30">
        <v>75000</v>
      </c>
      <c r="AX221" s="30">
        <v>0</v>
      </c>
      <c r="AY221" s="30">
        <v>0</v>
      </c>
      <c r="AZ221" s="30">
        <v>0</v>
      </c>
      <c r="BA221" s="30">
        <v>0</v>
      </c>
      <c r="BB221" s="30">
        <v>0</v>
      </c>
      <c r="BC221" s="30">
        <v>15000</v>
      </c>
      <c r="BD221" s="30">
        <v>0</v>
      </c>
      <c r="BE221" s="30">
        <v>0</v>
      </c>
      <c r="BF221" s="30">
        <v>0</v>
      </c>
      <c r="BG221" s="30">
        <v>0</v>
      </c>
      <c r="BH221" s="30">
        <v>0</v>
      </c>
      <c r="BI221" s="30">
        <v>46000</v>
      </c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 spans="1:73" x14ac:dyDescent="0.2">
      <c r="A222" s="23">
        <v>217</v>
      </c>
      <c r="B222" s="23">
        <v>1600</v>
      </c>
      <c r="C222" s="23">
        <v>0</v>
      </c>
      <c r="D222" s="23">
        <v>0</v>
      </c>
      <c r="E222" s="23">
        <f>1500+3000</f>
        <v>4500</v>
      </c>
      <c r="F222" s="23">
        <v>15000</v>
      </c>
      <c r="G222" s="23">
        <v>0</v>
      </c>
      <c r="H222" s="23">
        <v>0</v>
      </c>
      <c r="I222" s="23">
        <f>2500+150+6000</f>
        <v>8650</v>
      </c>
      <c r="J222" s="23">
        <v>0</v>
      </c>
      <c r="K222" s="23">
        <v>80</v>
      </c>
      <c r="L222" s="23">
        <v>25</v>
      </c>
      <c r="M222" s="23">
        <v>30000</v>
      </c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>
        <v>9600</v>
      </c>
      <c r="AA222" s="23">
        <v>0</v>
      </c>
      <c r="AB222" s="23">
        <v>0</v>
      </c>
      <c r="AC222" s="23">
        <v>0</v>
      </c>
      <c r="AD222" s="23">
        <f>1200+4600</f>
        <v>5800</v>
      </c>
      <c r="AE222" s="23">
        <v>0</v>
      </c>
      <c r="AF222" s="23">
        <v>0</v>
      </c>
      <c r="AG222" s="23">
        <v>150</v>
      </c>
      <c r="AH222" s="23">
        <v>0</v>
      </c>
      <c r="AI222" s="23"/>
      <c r="AJ222" s="23"/>
      <c r="AK222" s="23">
        <v>44000</v>
      </c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</row>
    <row r="223" spans="1:73" x14ac:dyDescent="0.2">
      <c r="A223" s="23">
        <v>218</v>
      </c>
      <c r="B223" s="23">
        <v>8500</v>
      </c>
      <c r="C223" s="23">
        <v>0</v>
      </c>
      <c r="D223" s="23">
        <v>0</v>
      </c>
      <c r="E223" s="23">
        <f>14000+24000+5000</f>
        <v>43000</v>
      </c>
      <c r="F223" s="23">
        <f>3675+1300+4200</f>
        <v>9175</v>
      </c>
      <c r="G223" s="23">
        <v>0</v>
      </c>
      <c r="H223" s="23">
        <v>0</v>
      </c>
      <c r="I223" s="23">
        <f>600+24000+3000</f>
        <v>27600</v>
      </c>
      <c r="J223" s="23">
        <v>50</v>
      </c>
      <c r="K223" s="23">
        <v>130</v>
      </c>
      <c r="L223" s="23">
        <v>25</v>
      </c>
      <c r="M223" s="23">
        <f>1350*20.5</f>
        <v>27675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>
        <v>5000</v>
      </c>
      <c r="AA223" s="23">
        <v>0</v>
      </c>
      <c r="AB223" s="23">
        <v>0</v>
      </c>
      <c r="AC223" s="23">
        <v>6000</v>
      </c>
      <c r="AD223" s="23">
        <v>2400</v>
      </c>
      <c r="AE223" s="23">
        <v>0</v>
      </c>
      <c r="AF223" s="23">
        <v>0</v>
      </c>
      <c r="AG223" s="23">
        <f>1000+1400+900</f>
        <v>3300</v>
      </c>
      <c r="AH223" s="23">
        <v>0</v>
      </c>
      <c r="AI223" s="23">
        <v>560</v>
      </c>
      <c r="AJ223" s="23">
        <v>0</v>
      </c>
      <c r="AK223" s="23">
        <f>27*360</f>
        <v>9720</v>
      </c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>
        <v>0</v>
      </c>
      <c r="BK223" s="23">
        <v>0</v>
      </c>
      <c r="BL223" s="23">
        <v>0</v>
      </c>
      <c r="BM223" s="23">
        <v>0</v>
      </c>
      <c r="BN223" s="23">
        <v>0</v>
      </c>
      <c r="BO223" s="23">
        <v>0</v>
      </c>
      <c r="BP223" s="23">
        <v>0</v>
      </c>
      <c r="BQ223" s="23">
        <v>0</v>
      </c>
      <c r="BR223" s="23">
        <v>0</v>
      </c>
      <c r="BS223" s="23">
        <v>0</v>
      </c>
      <c r="BT223" s="23">
        <v>0</v>
      </c>
      <c r="BU223" s="23">
        <v>1500</v>
      </c>
    </row>
    <row r="224" spans="1:73" x14ac:dyDescent="0.2">
      <c r="A224" s="23">
        <v>81</v>
      </c>
      <c r="B224" s="23">
        <v>7560</v>
      </c>
      <c r="C224" s="23">
        <v>0</v>
      </c>
      <c r="D224" s="23">
        <v>0</v>
      </c>
      <c r="E224" s="23">
        <f>5000+5000+13500+5000</f>
        <v>28500</v>
      </c>
      <c r="F224" s="23">
        <f>1750+749+490+1500+5000</f>
        <v>9489</v>
      </c>
      <c r="G224" s="23">
        <v>0</v>
      </c>
      <c r="H224" s="23">
        <v>0</v>
      </c>
      <c r="I224" s="23">
        <f>15000+1000+2000</f>
        <v>18000</v>
      </c>
      <c r="J224" s="23">
        <v>0</v>
      </c>
      <c r="K224" s="23">
        <v>125</v>
      </c>
      <c r="L224" s="23">
        <v>25</v>
      </c>
      <c r="M224" s="23">
        <f>29*2200</f>
        <v>63800</v>
      </c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</row>
    <row r="225" spans="1:73" x14ac:dyDescent="0.2">
      <c r="A225" s="23">
        <v>82</v>
      </c>
      <c r="B225" s="23">
        <v>6000</v>
      </c>
      <c r="C225" s="23">
        <v>0</v>
      </c>
      <c r="D225" s="23">
        <v>0</v>
      </c>
      <c r="E225" s="23">
        <f>6000+6000+4000+8000</f>
        <v>24000</v>
      </c>
      <c r="F225" s="23">
        <f>1400+420+462+2500+1281</f>
        <v>6063</v>
      </c>
      <c r="G225" s="23">
        <v>0</v>
      </c>
      <c r="H225" s="23">
        <v>0</v>
      </c>
      <c r="I225" s="23">
        <f>5500+1000+5000</f>
        <v>11500</v>
      </c>
      <c r="J225" s="23">
        <v>0</v>
      </c>
      <c r="K225" s="23">
        <v>50</v>
      </c>
      <c r="L225" s="23">
        <v>15</v>
      </c>
      <c r="M225" s="23">
        <f>30*770</f>
        <v>23100</v>
      </c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>
        <v>0</v>
      </c>
      <c r="AM225" s="23">
        <v>0</v>
      </c>
      <c r="AN225" s="23">
        <v>0</v>
      </c>
      <c r="AO225" s="23">
        <v>0</v>
      </c>
      <c r="AP225" s="23">
        <v>0</v>
      </c>
      <c r="AQ225" s="23">
        <v>0</v>
      </c>
      <c r="AR225" s="23">
        <v>0</v>
      </c>
      <c r="AS225" s="23">
        <v>0</v>
      </c>
      <c r="AT225" s="23">
        <v>0</v>
      </c>
      <c r="AU225" s="23">
        <v>1000</v>
      </c>
      <c r="AV225" s="23">
        <v>0</v>
      </c>
      <c r="AW225" s="23">
        <v>90000</v>
      </c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</row>
    <row r="226" spans="1:73" x14ac:dyDescent="0.2">
      <c r="A226" s="23">
        <v>83</v>
      </c>
      <c r="B226" s="23">
        <v>7150</v>
      </c>
      <c r="C226" s="23">
        <v>0</v>
      </c>
      <c r="D226" s="23">
        <v>0</v>
      </c>
      <c r="E226" s="23">
        <f>10000+10000+12000+22000</f>
        <v>54000</v>
      </c>
      <c r="F226" s="23">
        <f>1400+420+462+966+5000</f>
        <v>8248</v>
      </c>
      <c r="G226" s="23">
        <v>2000</v>
      </c>
      <c r="H226" s="23">
        <v>0</v>
      </c>
      <c r="I226" s="23">
        <f>8000+1500+40000</f>
        <v>49500</v>
      </c>
      <c r="J226" s="23">
        <v>0</v>
      </c>
      <c r="K226" s="23">
        <v>80</v>
      </c>
      <c r="L226" s="23">
        <v>30</v>
      </c>
      <c r="M226" s="23">
        <f>30*1100</f>
        <v>33000</v>
      </c>
      <c r="N226" s="23">
        <v>1600</v>
      </c>
      <c r="O226" s="23">
        <v>0</v>
      </c>
      <c r="P226" s="23">
        <v>0</v>
      </c>
      <c r="Q226" s="23">
        <f>6000+5000+15000+2000</f>
        <v>28000</v>
      </c>
      <c r="R226" s="23">
        <f>350+245+245+360</f>
        <v>1200</v>
      </c>
      <c r="S226" s="23">
        <v>2000</v>
      </c>
      <c r="T226" s="23">
        <v>0</v>
      </c>
      <c r="U226" s="23">
        <f>3000+5000</f>
        <v>8000</v>
      </c>
      <c r="V226" s="23">
        <v>0</v>
      </c>
      <c r="W226" s="23">
        <v>500</v>
      </c>
      <c r="X226" s="23">
        <v>0</v>
      </c>
      <c r="Y226" s="23">
        <f>70*500</f>
        <v>35000</v>
      </c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</row>
    <row r="227" spans="1:73" x14ac:dyDescent="0.2">
      <c r="A227" s="23">
        <v>84</v>
      </c>
      <c r="B227" s="23">
        <v>7150</v>
      </c>
      <c r="C227" s="23">
        <v>0</v>
      </c>
      <c r="D227" s="23">
        <v>0</v>
      </c>
      <c r="E227" s="23">
        <f>4000+4000+20000+3000</f>
        <v>31000</v>
      </c>
      <c r="F227" s="23">
        <f>1400+210+175+765+1200+4000+4000</f>
        <v>11750</v>
      </c>
      <c r="G227" s="23">
        <v>0</v>
      </c>
      <c r="H227" s="23">
        <v>0</v>
      </c>
      <c r="I227" s="23">
        <f>20000+1500</f>
        <v>21500</v>
      </c>
      <c r="J227" s="23">
        <v>0</v>
      </c>
      <c r="K227" s="23">
        <v>70</v>
      </c>
      <c r="L227" s="23">
        <v>20</v>
      </c>
      <c r="M227" s="23">
        <f>30*1100</f>
        <v>33000</v>
      </c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</row>
    <row r="228" spans="1:73" x14ac:dyDescent="0.2">
      <c r="A228" s="23">
        <v>85</v>
      </c>
      <c r="B228" s="23">
        <v>3900</v>
      </c>
      <c r="C228" s="23">
        <v>0</v>
      </c>
      <c r="D228" s="23">
        <v>0</v>
      </c>
      <c r="E228" s="23">
        <f>2000+1000</f>
        <v>3000</v>
      </c>
      <c r="F228" s="23">
        <f>1925+350+210+1065+1500</f>
        <v>5050</v>
      </c>
      <c r="G228" s="23">
        <v>0</v>
      </c>
      <c r="H228" s="23">
        <v>0</v>
      </c>
      <c r="I228" s="23">
        <f>10000+500</f>
        <v>10500</v>
      </c>
      <c r="J228" s="23">
        <v>0</v>
      </c>
      <c r="K228" s="23">
        <v>75</v>
      </c>
      <c r="L228" s="23">
        <v>50</v>
      </c>
      <c r="M228" s="23">
        <f>37*550</f>
        <v>20350</v>
      </c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>
        <v>0</v>
      </c>
      <c r="AM228" s="23">
        <v>0</v>
      </c>
      <c r="AN228" s="23">
        <v>0</v>
      </c>
      <c r="AO228" s="23">
        <f>2000+2000</f>
        <v>4000</v>
      </c>
      <c r="AP228" s="23">
        <v>15000</v>
      </c>
      <c r="AQ228" s="23">
        <v>0</v>
      </c>
      <c r="AR228" s="23">
        <v>0</v>
      </c>
      <c r="AS228" s="23">
        <v>2000</v>
      </c>
      <c r="AT228" s="23">
        <v>0</v>
      </c>
      <c r="AU228" s="23">
        <v>2000</v>
      </c>
      <c r="AV228" s="23">
        <v>0</v>
      </c>
      <c r="AW228" s="23">
        <v>120000</v>
      </c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</row>
    <row r="229" spans="1:73" x14ac:dyDescent="0.2">
      <c r="A229" s="23">
        <v>86</v>
      </c>
      <c r="B229" s="23">
        <v>2860</v>
      </c>
      <c r="C229" s="23">
        <v>0</v>
      </c>
      <c r="D229" s="23">
        <v>0</v>
      </c>
      <c r="E229" s="23">
        <v>12000</v>
      </c>
      <c r="F229" s="23">
        <f>525+175+175+375+3500</f>
        <v>4750</v>
      </c>
      <c r="G229" s="23">
        <v>0</v>
      </c>
      <c r="H229" s="23">
        <v>0</v>
      </c>
      <c r="I229" s="23">
        <v>11000</v>
      </c>
      <c r="J229" s="23">
        <v>0</v>
      </c>
      <c r="K229" s="23">
        <v>30</v>
      </c>
      <c r="L229" s="23">
        <v>20</v>
      </c>
      <c r="M229" s="23">
        <f>35*660</f>
        <v>23100</v>
      </c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</row>
    <row r="230" spans="1:73" x14ac:dyDescent="0.2">
      <c r="A230" s="23">
        <v>87</v>
      </c>
      <c r="B230" s="23">
        <v>2860</v>
      </c>
      <c r="C230" s="23"/>
      <c r="D230" s="23"/>
      <c r="E230" s="23">
        <f>3000+3000+6000+18000+6000</f>
        <v>36000</v>
      </c>
      <c r="F230" s="23">
        <f>875+525+525+2600+825+1500+4500</f>
        <v>11350</v>
      </c>
      <c r="G230" s="23">
        <v>0</v>
      </c>
      <c r="H230" s="23">
        <v>0</v>
      </c>
      <c r="I230" s="23">
        <f>10000+9000+2000</f>
        <v>21000</v>
      </c>
      <c r="J230" s="23">
        <v>0</v>
      </c>
      <c r="K230" s="23">
        <v>150</v>
      </c>
      <c r="L230" s="23">
        <v>30</v>
      </c>
      <c r="M230" s="23">
        <f>(23*40*20.5)+96000</f>
        <v>114860</v>
      </c>
      <c r="N230" s="23">
        <v>2000</v>
      </c>
      <c r="O230" s="23">
        <v>0</v>
      </c>
      <c r="P230" s="23">
        <v>0</v>
      </c>
      <c r="Q230" s="23">
        <f>9000+2000</f>
        <v>11000</v>
      </c>
      <c r="R230" s="23">
        <f>175+1000</f>
        <v>1175</v>
      </c>
      <c r="S230" s="23">
        <v>0</v>
      </c>
      <c r="T230" s="23"/>
      <c r="U230" s="23">
        <f>3500+4000+2000</f>
        <v>9500</v>
      </c>
      <c r="V230" s="23">
        <v>0</v>
      </c>
      <c r="W230" s="23">
        <v>966</v>
      </c>
      <c r="X230" s="23">
        <v>0</v>
      </c>
      <c r="Y230" s="23">
        <f>90*966</f>
        <v>86940</v>
      </c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</row>
    <row r="231" spans="1:73" x14ac:dyDescent="0.2">
      <c r="A231" s="23">
        <v>88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>
        <v>2000</v>
      </c>
      <c r="O231" s="23">
        <v>0</v>
      </c>
      <c r="P231" s="23">
        <v>0</v>
      </c>
      <c r="Q231" s="23">
        <f>6000+6000+9000+8000</f>
        <v>29000</v>
      </c>
      <c r="R231" s="23">
        <f>525+210+140+375+3000+4500</f>
        <v>8750</v>
      </c>
      <c r="S231" s="23">
        <v>6000</v>
      </c>
      <c r="T231" s="23">
        <v>0</v>
      </c>
      <c r="U231" s="23">
        <f>5000+16000+1000</f>
        <v>22000</v>
      </c>
      <c r="V231" s="23">
        <v>0</v>
      </c>
      <c r="W231" s="23">
        <v>1000</v>
      </c>
      <c r="X231" s="23">
        <v>0</v>
      </c>
      <c r="Y231" s="23">
        <f>95*1000</f>
        <v>95000</v>
      </c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</row>
    <row r="232" spans="1:73" x14ac:dyDescent="0.2">
      <c r="A232" s="23">
        <v>89</v>
      </c>
      <c r="B232" s="23">
        <f>198*60</f>
        <v>11880</v>
      </c>
      <c r="C232" s="23">
        <v>0</v>
      </c>
      <c r="D232" s="23">
        <v>0</v>
      </c>
      <c r="E232" s="23">
        <f>12000+12000+6000+10000</f>
        <v>40000</v>
      </c>
      <c r="F232" s="23">
        <f>4600+3000+6000</f>
        <v>13600</v>
      </c>
      <c r="G232" s="23">
        <v>0</v>
      </c>
      <c r="H232" s="23">
        <v>0</v>
      </c>
      <c r="I232" s="23">
        <f>44000</f>
        <v>44000</v>
      </c>
      <c r="J232" s="23">
        <v>0</v>
      </c>
      <c r="K232" s="23">
        <v>400</v>
      </c>
      <c r="L232" s="23">
        <v>60</v>
      </c>
      <c r="M232" s="23">
        <f>30*7480</f>
        <v>224400</v>
      </c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</row>
    <row r="233" spans="1:73" x14ac:dyDescent="0.2">
      <c r="A233" s="23">
        <v>90</v>
      </c>
      <c r="B233" s="23">
        <v>9240</v>
      </c>
      <c r="C233" s="23">
        <v>0</v>
      </c>
      <c r="D233" s="23">
        <v>0</v>
      </c>
      <c r="E233" s="23">
        <f>18000+3000+3000</f>
        <v>24000</v>
      </c>
      <c r="F233" s="23">
        <f>4600+6000+9375</f>
        <v>19975</v>
      </c>
      <c r="G233" s="23">
        <v>0</v>
      </c>
      <c r="H233" s="23">
        <v>0</v>
      </c>
      <c r="I233" s="23">
        <f>22200</f>
        <v>22200</v>
      </c>
      <c r="J233" s="23">
        <v>0</v>
      </c>
      <c r="K233" s="23">
        <v>200</v>
      </c>
      <c r="L233" s="23">
        <v>40</v>
      </c>
      <c r="M233" s="23">
        <f>29*3520</f>
        <v>102080</v>
      </c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</row>
    <row r="234" spans="1:73" x14ac:dyDescent="0.2">
      <c r="A234" s="23">
        <v>91</v>
      </c>
      <c r="B234" s="23">
        <v>11440</v>
      </c>
      <c r="C234" s="23">
        <v>0</v>
      </c>
      <c r="D234" s="23">
        <v>0</v>
      </c>
      <c r="E234" s="23">
        <f>15000+1000+21000+10000</f>
        <v>47000</v>
      </c>
      <c r="F234" s="23">
        <f>5000+1200+9000</f>
        <v>15200</v>
      </c>
      <c r="G234" s="23">
        <v>0</v>
      </c>
      <c r="H234" s="23">
        <v>0</v>
      </c>
      <c r="I234" s="23">
        <f>30000+1500</f>
        <v>31500</v>
      </c>
      <c r="J234" s="23">
        <v>0</v>
      </c>
      <c r="K234" s="23">
        <v>250</v>
      </c>
      <c r="L234" s="23">
        <v>50</v>
      </c>
      <c r="M234" s="23">
        <f>28*4400</f>
        <v>123200</v>
      </c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</row>
    <row r="235" spans="1:73" x14ac:dyDescent="0.2">
      <c r="A235" s="23">
        <v>92</v>
      </c>
      <c r="B235" s="23">
        <v>7150</v>
      </c>
      <c r="C235" s="23">
        <v>0</v>
      </c>
      <c r="D235" s="23">
        <v>0</v>
      </c>
      <c r="E235" s="23">
        <f>6000+6000+5000+13500</f>
        <v>30500</v>
      </c>
      <c r="F235" s="23">
        <f>2550+2500</f>
        <v>5050</v>
      </c>
      <c r="G235" s="23">
        <v>0</v>
      </c>
      <c r="H235" s="23">
        <v>0</v>
      </c>
      <c r="I235" s="23">
        <f>15000+1000</f>
        <v>16000</v>
      </c>
      <c r="J235" s="23">
        <v>0</v>
      </c>
      <c r="K235" s="23">
        <v>30</v>
      </c>
      <c r="L235" s="23">
        <v>30</v>
      </c>
      <c r="M235" s="23">
        <v>0</v>
      </c>
      <c r="N235" s="23">
        <v>2500</v>
      </c>
      <c r="O235" s="23">
        <v>0</v>
      </c>
      <c r="P235" s="23">
        <v>0</v>
      </c>
      <c r="Q235" s="23">
        <f>3000+5000+7000+10000</f>
        <v>25000</v>
      </c>
      <c r="R235" s="23">
        <f>1500</f>
        <v>1500</v>
      </c>
      <c r="S235" s="23">
        <v>0</v>
      </c>
      <c r="T235" s="23">
        <v>0</v>
      </c>
      <c r="U235" s="23">
        <f>5650+1000+12000</f>
        <v>18650</v>
      </c>
      <c r="V235" s="23">
        <v>0</v>
      </c>
      <c r="W235" s="23">
        <v>800</v>
      </c>
      <c r="X235" s="23">
        <v>0</v>
      </c>
      <c r="Y235" s="23">
        <f>95*800</f>
        <v>76000</v>
      </c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</row>
    <row r="236" spans="1:73" x14ac:dyDescent="0.2">
      <c r="A236" s="23">
        <v>93</v>
      </c>
      <c r="B236" s="23">
        <v>11115</v>
      </c>
      <c r="C236" s="23">
        <v>0</v>
      </c>
      <c r="D236" s="23">
        <v>0</v>
      </c>
      <c r="E236" s="23">
        <f>6500</f>
        <v>6500</v>
      </c>
      <c r="F236" s="23">
        <f>3500+5000</f>
        <v>8500</v>
      </c>
      <c r="G236" s="23">
        <v>0</v>
      </c>
      <c r="H236" s="23">
        <v>0</v>
      </c>
      <c r="I236" s="23">
        <f>5500+9000</f>
        <v>14500</v>
      </c>
      <c r="J236" s="23">
        <v>0</v>
      </c>
      <c r="K236" s="23">
        <v>100</v>
      </c>
      <c r="L236" s="23">
        <v>20</v>
      </c>
      <c r="M236" s="23">
        <f>29*1760</f>
        <v>51040</v>
      </c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</row>
    <row r="237" spans="1:73" x14ac:dyDescent="0.2">
      <c r="A237" s="23">
        <v>94</v>
      </c>
      <c r="B237" s="23">
        <v>6000</v>
      </c>
      <c r="C237" s="23">
        <v>0</v>
      </c>
      <c r="D237" s="23">
        <v>0</v>
      </c>
      <c r="E237" s="23">
        <v>10000</v>
      </c>
      <c r="F237" s="23">
        <f>4250+6000</f>
        <v>10250</v>
      </c>
      <c r="G237" s="23">
        <v>0</v>
      </c>
      <c r="H237" s="23">
        <v>0</v>
      </c>
      <c r="I237" s="23">
        <v>30500</v>
      </c>
      <c r="J237" s="23">
        <v>0</v>
      </c>
      <c r="K237" s="23">
        <v>200</v>
      </c>
      <c r="L237" s="23">
        <v>40</v>
      </c>
      <c r="M237" s="23">
        <f>31*3520</f>
        <v>109120</v>
      </c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</row>
    <row r="238" spans="1:73" x14ac:dyDescent="0.2">
      <c r="A238" s="23">
        <v>95</v>
      </c>
      <c r="B238" s="23">
        <v>6300</v>
      </c>
      <c r="C238" s="23">
        <v>0</v>
      </c>
      <c r="D238" s="23">
        <v>0</v>
      </c>
      <c r="E238" s="23">
        <f>13500+6000+6000+5000</f>
        <v>30500</v>
      </c>
      <c r="F238" s="23">
        <f>1700+2500</f>
        <v>4200</v>
      </c>
      <c r="G238" s="23">
        <v>0</v>
      </c>
      <c r="H238" s="23">
        <v>0</v>
      </c>
      <c r="I238" s="23">
        <f>16500+2000</f>
        <v>18500</v>
      </c>
      <c r="J238" s="23">
        <v>0</v>
      </c>
      <c r="K238" s="23">
        <v>150</v>
      </c>
      <c r="L238" s="23">
        <v>50</v>
      </c>
      <c r="M238" s="23">
        <f>26.5*2100</f>
        <v>55650</v>
      </c>
      <c r="N238" s="23">
        <v>2600</v>
      </c>
      <c r="O238" s="23">
        <v>0</v>
      </c>
      <c r="P238" s="23">
        <v>0</v>
      </c>
      <c r="Q238" s="23">
        <f>5000+5000+6000+10000</f>
        <v>26000</v>
      </c>
      <c r="R238" s="23">
        <f>1700+2500</f>
        <v>4200</v>
      </c>
      <c r="S238" s="23">
        <v>4000</v>
      </c>
      <c r="T238" s="23">
        <v>0</v>
      </c>
      <c r="U238" s="23">
        <f>3500+12000+1000</f>
        <v>16500</v>
      </c>
      <c r="V238" s="23">
        <v>0</v>
      </c>
      <c r="W238" s="23">
        <v>500</v>
      </c>
      <c r="X238" s="23">
        <v>0</v>
      </c>
      <c r="Y238" s="23">
        <f>90*500</f>
        <v>45000</v>
      </c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</row>
    <row r="239" spans="1:73" x14ac:dyDescent="0.2">
      <c r="A239" s="23">
        <v>184</v>
      </c>
      <c r="B239" s="23">
        <v>7920</v>
      </c>
      <c r="C239" s="23">
        <v>0</v>
      </c>
      <c r="D239" s="23">
        <v>0</v>
      </c>
      <c r="E239" s="23">
        <f>12000+8000+7000</f>
        <v>27000</v>
      </c>
      <c r="F239" s="23">
        <f>1600+5000</f>
        <v>6600</v>
      </c>
      <c r="G239" s="23">
        <v>0</v>
      </c>
      <c r="H239" s="23">
        <v>0</v>
      </c>
      <c r="I239" s="23">
        <f>18000+1500</f>
        <v>19500</v>
      </c>
      <c r="J239" s="23">
        <v>0</v>
      </c>
      <c r="K239" s="23">
        <v>150</v>
      </c>
      <c r="L239" s="23">
        <v>26</v>
      </c>
      <c r="M239" s="23">
        <f>36*2728</f>
        <v>98208</v>
      </c>
      <c r="N239" s="23">
        <v>2300</v>
      </c>
      <c r="O239" s="23">
        <v>0</v>
      </c>
      <c r="P239" s="23">
        <v>0</v>
      </c>
      <c r="Q239" s="23">
        <f>3000+4000+1000+5000</f>
        <v>13000</v>
      </c>
      <c r="R239" s="23">
        <v>350</v>
      </c>
      <c r="S239" s="23">
        <f>3000</f>
        <v>3000</v>
      </c>
      <c r="T239" s="23">
        <v>0</v>
      </c>
      <c r="U239" s="23">
        <f>4800+250</f>
        <v>5050</v>
      </c>
      <c r="V239" s="23">
        <v>0</v>
      </c>
      <c r="W239" s="23">
        <v>712</v>
      </c>
      <c r="X239" s="23">
        <v>0</v>
      </c>
      <c r="Y239" s="23">
        <f>70*712</f>
        <v>49840</v>
      </c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</row>
    <row r="240" spans="1:73" x14ac:dyDescent="0.2">
      <c r="A240" s="23">
        <v>185</v>
      </c>
      <c r="B240" s="23">
        <v>6600</v>
      </c>
      <c r="C240" s="23">
        <v>0</v>
      </c>
      <c r="D240" s="23">
        <v>0</v>
      </c>
      <c r="E240" s="23">
        <f>16500+22000</f>
        <v>38500</v>
      </c>
      <c r="F240" s="23">
        <f>2770+1050+1900+1600</f>
        <v>7320</v>
      </c>
      <c r="G240" s="23">
        <v>0</v>
      </c>
      <c r="H240" s="23">
        <v>0</v>
      </c>
      <c r="I240" s="23">
        <f>25000+4000</f>
        <v>29000</v>
      </c>
      <c r="J240" s="23">
        <v>0</v>
      </c>
      <c r="K240" s="23">
        <v>250</v>
      </c>
      <c r="L240" s="23">
        <v>40</v>
      </c>
      <c r="M240" s="23">
        <f>27.5*4620</f>
        <v>127050</v>
      </c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</row>
    <row r="241" spans="1:73" x14ac:dyDescent="0.2">
      <c r="A241" s="23">
        <v>186</v>
      </c>
      <c r="B241" s="23">
        <v>5040</v>
      </c>
      <c r="C241" s="23">
        <v>0</v>
      </c>
      <c r="D241" s="23">
        <v>0</v>
      </c>
      <c r="E241" s="23">
        <f>10000+10000+7000+21000</f>
        <v>48000</v>
      </c>
      <c r="F241" s="23">
        <f>2750+700+3500</f>
        <v>6950</v>
      </c>
      <c r="G241" s="23">
        <v>2000</v>
      </c>
      <c r="H241" s="23">
        <v>0</v>
      </c>
      <c r="I241" s="23">
        <f>7500+1500</f>
        <v>9000</v>
      </c>
      <c r="J241" s="23">
        <v>0</v>
      </c>
      <c r="K241" s="23">
        <v>60</v>
      </c>
      <c r="L241" s="23">
        <v>50</v>
      </c>
      <c r="M241" s="23">
        <f>50*220</f>
        <v>11000</v>
      </c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</row>
    <row r="242" spans="1:73" x14ac:dyDescent="0.2">
      <c r="A242" s="23">
        <v>187</v>
      </c>
      <c r="B242" s="23">
        <v>7560</v>
      </c>
      <c r="C242" s="23">
        <v>0</v>
      </c>
      <c r="D242" s="23">
        <v>0</v>
      </c>
      <c r="E242" s="23">
        <f>10000+10000+8000</f>
        <v>28000</v>
      </c>
      <c r="F242" s="23">
        <f>5230+1750+2300</f>
        <v>9280</v>
      </c>
      <c r="G242" s="23">
        <v>0</v>
      </c>
      <c r="H242" s="23">
        <v>0</v>
      </c>
      <c r="I242" s="23">
        <f>40000</f>
        <v>40000</v>
      </c>
      <c r="J242" s="23">
        <v>0</v>
      </c>
      <c r="K242" s="23">
        <v>300</v>
      </c>
      <c r="L242" s="23">
        <v>40</v>
      </c>
      <c r="M242" s="23">
        <f>38*5460</f>
        <v>207480</v>
      </c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</row>
    <row r="243" spans="1:73" x14ac:dyDescent="0.2">
      <c r="A243" s="23">
        <v>188</v>
      </c>
      <c r="B243" s="23">
        <v>6000</v>
      </c>
      <c r="C243" s="23">
        <v>0</v>
      </c>
      <c r="D243" s="23">
        <v>0</v>
      </c>
      <c r="E243" s="23">
        <v>43000</v>
      </c>
      <c r="F243" s="23">
        <f>3980+13000</f>
        <v>16980</v>
      </c>
      <c r="G243" s="23">
        <v>0</v>
      </c>
      <c r="H243" s="23">
        <v>0</v>
      </c>
      <c r="I243" s="23">
        <v>33000</v>
      </c>
      <c r="J243" s="23">
        <v>0</v>
      </c>
      <c r="K243" s="23">
        <v>310</v>
      </c>
      <c r="L243" s="23">
        <v>80</v>
      </c>
      <c r="M243" s="23">
        <f>44*4830</f>
        <v>212520</v>
      </c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</row>
    <row r="244" spans="1:73" x14ac:dyDescent="0.2">
      <c r="A244" s="23">
        <v>189</v>
      </c>
      <c r="B244" s="23">
        <v>7200</v>
      </c>
      <c r="C244" s="23">
        <v>0</v>
      </c>
      <c r="D244" s="23">
        <v>0</v>
      </c>
      <c r="E244" s="23">
        <f>5000+6000+5000+9500</f>
        <v>25500</v>
      </c>
      <c r="F244" s="23">
        <f>2200+3000</f>
        <v>5200</v>
      </c>
      <c r="G244" s="23">
        <v>0</v>
      </c>
      <c r="H244" s="23">
        <v>0</v>
      </c>
      <c r="I244" s="23">
        <v>15400</v>
      </c>
      <c r="J244" s="23">
        <v>0</v>
      </c>
      <c r="K244" s="23">
        <v>120</v>
      </c>
      <c r="L244" s="23">
        <v>50</v>
      </c>
      <c r="M244" s="23">
        <f>70*35*20.5</f>
        <v>50225</v>
      </c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</row>
    <row r="245" spans="1:73" x14ac:dyDescent="0.2">
      <c r="A245" s="23">
        <v>190</v>
      </c>
      <c r="B245" s="23">
        <v>8820</v>
      </c>
      <c r="C245" s="23">
        <v>0</v>
      </c>
      <c r="D245" s="23">
        <v>0</v>
      </c>
      <c r="E245" s="23">
        <f>20000+20000+16000</f>
        <v>56000</v>
      </c>
      <c r="F245" s="23">
        <f>2500+2000+3000</f>
        <v>7500</v>
      </c>
      <c r="G245" s="23">
        <v>0</v>
      </c>
      <c r="H245" s="23">
        <v>0</v>
      </c>
      <c r="I245" s="23">
        <f>9000+3000</f>
        <v>12000</v>
      </c>
      <c r="J245" s="23">
        <v>0</v>
      </c>
      <c r="K245" s="23">
        <v>200</v>
      </c>
      <c r="L245" s="23">
        <v>15</v>
      </c>
      <c r="M245" s="23">
        <f>31*3285</f>
        <v>101835</v>
      </c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</row>
    <row r="246" spans="1:73" x14ac:dyDescent="0.2">
      <c r="A246" s="23">
        <v>191</v>
      </c>
      <c r="B246" s="23">
        <v>7560</v>
      </c>
      <c r="C246" s="23">
        <v>0</v>
      </c>
      <c r="D246" s="23">
        <v>0</v>
      </c>
      <c r="E246" s="23">
        <f>27000+12000+12000+16000</f>
        <v>67000</v>
      </c>
      <c r="F246" s="23">
        <f>3980+3000+15000</f>
        <v>21980</v>
      </c>
      <c r="G246" s="23">
        <v>0</v>
      </c>
      <c r="H246" s="23">
        <v>0</v>
      </c>
      <c r="I246" s="23">
        <f>30000+1500</f>
        <v>31500</v>
      </c>
      <c r="J246" s="23">
        <v>0</v>
      </c>
      <c r="K246" s="23">
        <v>195</v>
      </c>
      <c r="L246" s="23">
        <v>50</v>
      </c>
      <c r="M246" s="23">
        <f>38*3190</f>
        <v>121220</v>
      </c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</row>
    <row r="247" spans="1:73" x14ac:dyDescent="0.2">
      <c r="A247" s="23">
        <v>192</v>
      </c>
      <c r="B247" s="23">
        <v>2700</v>
      </c>
      <c r="C247" s="23">
        <v>0</v>
      </c>
      <c r="D247" s="23">
        <v>0</v>
      </c>
      <c r="E247" s="23">
        <f>9000+3000</f>
        <v>12000</v>
      </c>
      <c r="F247" s="23">
        <f>1500+2200+700</f>
        <v>4400</v>
      </c>
      <c r="G247" s="23">
        <v>0</v>
      </c>
      <c r="H247" s="23">
        <v>0</v>
      </c>
      <c r="I247" s="23">
        <f>12000+600</f>
        <v>12600</v>
      </c>
      <c r="J247" s="23">
        <v>0</v>
      </c>
      <c r="K247" s="23">
        <v>100</v>
      </c>
      <c r="L247" s="23">
        <v>20</v>
      </c>
      <c r="M247" s="23">
        <f>26*1680</f>
        <v>43680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</row>
    <row r="248" spans="1:73" x14ac:dyDescent="0.2">
      <c r="A248" s="23">
        <v>193</v>
      </c>
      <c r="B248" s="23">
        <v>4410</v>
      </c>
      <c r="C248" s="23">
        <v>0</v>
      </c>
      <c r="D248" s="23">
        <v>0</v>
      </c>
      <c r="E248" s="23">
        <f>4000+3000+8500+3000</f>
        <v>18500</v>
      </c>
      <c r="F248" s="23">
        <f>3250+450+2200</f>
        <v>5900</v>
      </c>
      <c r="G248" s="23">
        <v>0</v>
      </c>
      <c r="H248" s="23">
        <v>0</v>
      </c>
      <c r="I248" s="23">
        <f>4500+1000</f>
        <v>5500</v>
      </c>
      <c r="J248" s="23">
        <v>0</v>
      </c>
      <c r="K248" s="23">
        <v>80</v>
      </c>
      <c r="L248" s="23">
        <v>30</v>
      </c>
      <c r="M248" s="23">
        <f>26*1050</f>
        <v>27300</v>
      </c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</row>
    <row r="249" spans="1:73" x14ac:dyDescent="0.2">
      <c r="A249" s="29">
        <v>313</v>
      </c>
      <c r="B249" s="29">
        <v>3000</v>
      </c>
      <c r="C249" s="29">
        <v>0</v>
      </c>
      <c r="D249" s="29">
        <v>0</v>
      </c>
      <c r="E249" s="29">
        <v>7000</v>
      </c>
      <c r="F249" s="29">
        <f>1280+400+2100</f>
        <v>3780</v>
      </c>
      <c r="G249" s="29">
        <v>0</v>
      </c>
      <c r="H249" s="29">
        <v>0</v>
      </c>
      <c r="I249" s="29">
        <v>11500</v>
      </c>
      <c r="J249" s="29">
        <v>0</v>
      </c>
      <c r="K249" s="29">
        <v>110</v>
      </c>
      <c r="L249" s="29">
        <v>60</v>
      </c>
      <c r="M249" s="29">
        <f>28*50*20.5</f>
        <v>28700</v>
      </c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>
        <v>25000</v>
      </c>
      <c r="AM249" s="29">
        <v>0</v>
      </c>
      <c r="AN249" s="29">
        <v>0</v>
      </c>
      <c r="AO249" s="29">
        <v>25000</v>
      </c>
      <c r="AP249" s="29">
        <v>7000</v>
      </c>
      <c r="AQ249" s="29">
        <v>20000</v>
      </c>
      <c r="AR249" s="29">
        <v>0</v>
      </c>
      <c r="AS249" s="29">
        <v>15000</v>
      </c>
      <c r="AT249" s="29">
        <v>0</v>
      </c>
      <c r="AU249" s="29">
        <v>5000</v>
      </c>
      <c r="AV249" s="29">
        <v>0</v>
      </c>
      <c r="AW249" s="29">
        <f>(85*2000)+300000</f>
        <v>470000</v>
      </c>
      <c r="AX249" s="29">
        <v>0</v>
      </c>
      <c r="AY249" s="29">
        <v>0</v>
      </c>
      <c r="AZ249" s="29">
        <v>0</v>
      </c>
      <c r="BA249" s="29">
        <v>0</v>
      </c>
      <c r="BB249" s="29">
        <v>0</v>
      </c>
      <c r="BC249" s="29">
        <v>0</v>
      </c>
      <c r="BD249" s="29">
        <v>0</v>
      </c>
      <c r="BE249" s="29">
        <v>0</v>
      </c>
      <c r="BF249" s="29">
        <v>0</v>
      </c>
      <c r="BG249" s="29">
        <f>300*4</f>
        <v>1200</v>
      </c>
      <c r="BH249" s="29">
        <v>0</v>
      </c>
      <c r="BI249" s="29">
        <f>35*1200</f>
        <v>42000</v>
      </c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</row>
    <row r="250" spans="1:73" s="53" customFormat="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</row>
    <row r="251" spans="1:73" x14ac:dyDescent="0.2">
      <c r="A251" s="30">
        <v>219</v>
      </c>
      <c r="B251" s="30">
        <v>5500</v>
      </c>
      <c r="C251" s="30">
        <v>0</v>
      </c>
      <c r="D251" s="30">
        <v>0</v>
      </c>
      <c r="E251" s="30">
        <v>29000</v>
      </c>
      <c r="F251" s="30">
        <f>4000+450+1200+1000</f>
        <v>6650</v>
      </c>
      <c r="G251" s="30">
        <v>0</v>
      </c>
      <c r="H251" s="30">
        <v>0</v>
      </c>
      <c r="I251" s="30">
        <v>41000</v>
      </c>
      <c r="J251" s="30">
        <v>0</v>
      </c>
      <c r="K251" s="30">
        <v>300</v>
      </c>
      <c r="L251" s="30">
        <f>15*2.5</f>
        <v>37.5</v>
      </c>
      <c r="M251" s="30">
        <f>26*45*2.5*20.5</f>
        <v>59962.5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 spans="1:73" x14ac:dyDescent="0.2">
      <c r="A252" s="23">
        <v>306</v>
      </c>
      <c r="B252" s="23">
        <v>9100</v>
      </c>
      <c r="C252" s="23">
        <v>0</v>
      </c>
      <c r="D252" s="23">
        <v>0</v>
      </c>
      <c r="E252" s="23">
        <v>21000</v>
      </c>
      <c r="F252" s="23">
        <f>3654+6250</f>
        <v>9904</v>
      </c>
      <c r="G252" s="23">
        <v>0</v>
      </c>
      <c r="H252" s="23">
        <v>0</v>
      </c>
      <c r="I252" s="23">
        <v>16000</v>
      </c>
      <c r="J252" s="23">
        <v>0</v>
      </c>
      <c r="K252" s="23">
        <v>180</v>
      </c>
      <c r="L252" s="23">
        <v>0</v>
      </c>
      <c r="M252" s="23">
        <f>180*20.5*40</f>
        <v>147600</v>
      </c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</row>
    <row r="253" spans="1:73" x14ac:dyDescent="0.2">
      <c r="A253" s="23">
        <v>220</v>
      </c>
      <c r="B253" s="23">
        <v>3000</v>
      </c>
      <c r="C253" s="23">
        <v>0</v>
      </c>
      <c r="D253" s="23">
        <v>0</v>
      </c>
      <c r="E253" s="23">
        <v>7000</v>
      </c>
      <c r="F253" s="23">
        <f>1920+600+580+1350</f>
        <v>4450</v>
      </c>
      <c r="G253" s="23">
        <v>0</v>
      </c>
      <c r="H253" s="23">
        <v>0</v>
      </c>
      <c r="I253" s="23">
        <v>3800</v>
      </c>
      <c r="J253" s="23">
        <v>0</v>
      </c>
      <c r="K253" s="23">
        <v>110</v>
      </c>
      <c r="L253" s="23">
        <v>25</v>
      </c>
      <c r="M253" s="23">
        <f>35*1000</f>
        <v>35000</v>
      </c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</row>
    <row r="254" spans="1:73" x14ac:dyDescent="0.2">
      <c r="A254" s="23">
        <v>307</v>
      </c>
      <c r="B254" s="23">
        <v>15000</v>
      </c>
      <c r="C254" s="23">
        <v>0</v>
      </c>
      <c r="D254" s="23">
        <v>0</v>
      </c>
      <c r="E254" s="23">
        <v>67000</v>
      </c>
      <c r="F254" s="23">
        <f>(114*3*10)+(1250*3.5)</f>
        <v>7795</v>
      </c>
      <c r="G254" s="23">
        <v>0</v>
      </c>
      <c r="H254" s="23">
        <v>0</v>
      </c>
      <c r="I254" s="23">
        <v>25200</v>
      </c>
      <c r="J254" s="23">
        <v>0</v>
      </c>
      <c r="K254" s="23">
        <v>300</v>
      </c>
      <c r="L254" s="23">
        <v>75</v>
      </c>
      <c r="M254" s="23">
        <f>(26*705)+25380+1324300</f>
        <v>1368010</v>
      </c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</row>
    <row r="255" spans="1:73" x14ac:dyDescent="0.2">
      <c r="A255" s="23">
        <v>268</v>
      </c>
      <c r="B255" s="23">
        <f>1650*4.5</f>
        <v>7425</v>
      </c>
      <c r="C255" s="23">
        <v>0</v>
      </c>
      <c r="D255" s="23">
        <v>0</v>
      </c>
      <c r="E255" s="23">
        <v>28500</v>
      </c>
      <c r="F255" s="23">
        <f>2500+800+3500</f>
        <v>6800</v>
      </c>
      <c r="G255" s="23">
        <v>0</v>
      </c>
      <c r="H255" s="23">
        <v>0</v>
      </c>
      <c r="I255" s="23">
        <v>20000</v>
      </c>
      <c r="J255" s="23">
        <v>0</v>
      </c>
      <c r="K255" s="23">
        <v>120</v>
      </c>
      <c r="L255" s="23">
        <v>50</v>
      </c>
      <c r="M255" s="23">
        <f>30*3500</f>
        <v>105000</v>
      </c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</row>
    <row r="256" spans="1:73" x14ac:dyDescent="0.2">
      <c r="A256" s="23">
        <v>221</v>
      </c>
      <c r="B256" s="23">
        <f>1700*9.5</f>
        <v>16150</v>
      </c>
      <c r="C256" s="23">
        <v>0</v>
      </c>
      <c r="D256" s="23">
        <v>0</v>
      </c>
      <c r="E256" s="23">
        <v>52000</v>
      </c>
      <c r="F256" s="23">
        <f>(114*5.5)+1500+3000+700+4200</f>
        <v>10027</v>
      </c>
      <c r="G256" s="23">
        <v>0</v>
      </c>
      <c r="H256" s="23">
        <v>0</v>
      </c>
      <c r="I256" s="23">
        <v>66000</v>
      </c>
      <c r="J256" s="23">
        <v>40</v>
      </c>
      <c r="K256" s="23">
        <f>425+195</f>
        <v>620</v>
      </c>
      <c r="L256" s="23">
        <v>30</v>
      </c>
      <c r="M256" s="23">
        <f>(37*53*3*20.5)+58800+189000</f>
        <v>368401.5</v>
      </c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</row>
    <row r="257" spans="1:73" x14ac:dyDescent="0.2">
      <c r="A257" s="23">
        <v>222</v>
      </c>
      <c r="B257" s="23">
        <v>4600</v>
      </c>
      <c r="C257" s="23">
        <v>0</v>
      </c>
      <c r="D257" s="23">
        <v>0</v>
      </c>
      <c r="E257" s="23">
        <v>18000</v>
      </c>
      <c r="F257" s="23">
        <f>(114*10*2)+4200</f>
        <v>6480</v>
      </c>
      <c r="G257" s="23">
        <v>0</v>
      </c>
      <c r="H257" s="23">
        <v>0</v>
      </c>
      <c r="I257" s="23">
        <f>15000+2500+2400</f>
        <v>19900</v>
      </c>
      <c r="J257" s="23">
        <v>20</v>
      </c>
      <c r="K257" s="23">
        <v>250</v>
      </c>
      <c r="L257" s="23">
        <v>60</v>
      </c>
      <c r="M257" s="23">
        <f>27*170*20.5</f>
        <v>94095</v>
      </c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>
        <v>10500</v>
      </c>
      <c r="AY257" s="23">
        <v>0</v>
      </c>
      <c r="AZ257" s="23">
        <v>0</v>
      </c>
      <c r="BA257" s="23">
        <v>3500</v>
      </c>
      <c r="BB257" s="23">
        <f>2500+3900</f>
        <v>6400</v>
      </c>
      <c r="BC257" s="23">
        <v>0</v>
      </c>
      <c r="BD257" s="23">
        <v>0</v>
      </c>
      <c r="BE257" s="23">
        <v>0</v>
      </c>
      <c r="BF257" s="23">
        <v>0</v>
      </c>
      <c r="BG257" s="23">
        <v>0</v>
      </c>
      <c r="BH257" s="23">
        <v>0</v>
      </c>
      <c r="BI257" s="23">
        <v>51000</v>
      </c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</row>
    <row r="258" spans="1:73" x14ac:dyDescent="0.2">
      <c r="A258" s="23">
        <v>223</v>
      </c>
      <c r="B258" s="23">
        <v>6400</v>
      </c>
      <c r="C258" s="23">
        <v>0</v>
      </c>
      <c r="D258" s="23">
        <v>0</v>
      </c>
      <c r="E258" s="23">
        <v>20000</v>
      </c>
      <c r="F258" s="23">
        <f>5000+2000+7500</f>
        <v>14500</v>
      </c>
      <c r="G258" s="23">
        <v>0</v>
      </c>
      <c r="H258" s="23">
        <v>0</v>
      </c>
      <c r="I258" s="23">
        <v>32500</v>
      </c>
      <c r="J258" s="23">
        <v>0</v>
      </c>
      <c r="K258" s="23">
        <v>225</v>
      </c>
      <c r="L258" s="23">
        <v>50</v>
      </c>
      <c r="M258" s="23">
        <f>4000*31</f>
        <v>124000</v>
      </c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>
        <f>16500+5000</f>
        <v>21500</v>
      </c>
      <c r="BK258" s="23">
        <v>0</v>
      </c>
      <c r="BL258" s="23">
        <v>0</v>
      </c>
      <c r="BM258" s="23">
        <f>7000+12000</f>
        <v>19000</v>
      </c>
      <c r="BN258" s="23">
        <v>15000</v>
      </c>
      <c r="BO258" s="23">
        <v>0</v>
      </c>
      <c r="BP258" s="23">
        <v>0</v>
      </c>
      <c r="BQ258" s="23">
        <v>0</v>
      </c>
      <c r="BR258" s="23">
        <v>0</v>
      </c>
      <c r="BS258" s="23">
        <v>1100</v>
      </c>
      <c r="BT258" s="23">
        <v>100</v>
      </c>
      <c r="BU258" s="23">
        <f>(90*500)+37500</f>
        <v>82500</v>
      </c>
    </row>
    <row r="259" spans="1:73" x14ac:dyDescent="0.2">
      <c r="A259" s="23">
        <v>224</v>
      </c>
      <c r="B259" s="23">
        <v>3200</v>
      </c>
      <c r="C259" s="23">
        <v>0</v>
      </c>
      <c r="D259" s="23">
        <v>0</v>
      </c>
      <c r="E259" s="23">
        <v>12000</v>
      </c>
      <c r="F259" s="23">
        <v>2200</v>
      </c>
      <c r="G259" s="23">
        <v>0</v>
      </c>
      <c r="H259" s="23">
        <v>0</v>
      </c>
      <c r="I259" s="23">
        <v>15000</v>
      </c>
      <c r="J259" s="23">
        <v>0</v>
      </c>
      <c r="K259" s="23">
        <v>100</v>
      </c>
      <c r="L259" s="23">
        <v>25</v>
      </c>
      <c r="M259" s="23">
        <f>30*1500</f>
        <v>45000</v>
      </c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>
        <v>1000</v>
      </c>
      <c r="AA259" s="23">
        <v>0</v>
      </c>
      <c r="AB259" s="23">
        <v>0</v>
      </c>
      <c r="AC259" s="23">
        <v>11500</v>
      </c>
      <c r="AD259" s="23">
        <v>1950</v>
      </c>
      <c r="AE259" s="23">
        <v>0</v>
      </c>
      <c r="AF259" s="23">
        <v>0</v>
      </c>
      <c r="AG259" s="23">
        <v>1700</v>
      </c>
      <c r="AH259" s="23">
        <v>0</v>
      </c>
      <c r="AI259" s="23">
        <v>350</v>
      </c>
      <c r="AJ259" s="23">
        <v>0</v>
      </c>
      <c r="AK259" s="23">
        <f>90*350</f>
        <v>31500</v>
      </c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>
        <v>600</v>
      </c>
      <c r="BK259" s="23">
        <v>0</v>
      </c>
      <c r="BL259" s="23">
        <v>0</v>
      </c>
      <c r="BM259" s="23">
        <v>0</v>
      </c>
      <c r="BN259" s="23">
        <v>1300</v>
      </c>
      <c r="BO259" s="23">
        <v>0</v>
      </c>
      <c r="BP259" s="23">
        <v>0</v>
      </c>
      <c r="BQ259" s="23">
        <v>0</v>
      </c>
      <c r="BR259" s="23">
        <v>0</v>
      </c>
      <c r="BS259" s="23">
        <v>210</v>
      </c>
      <c r="BT259" s="23">
        <v>10</v>
      </c>
      <c r="BU259" s="23">
        <f>75*200</f>
        <v>15000</v>
      </c>
    </row>
    <row r="260" spans="1:73" x14ac:dyDescent="0.2">
      <c r="A260" s="23">
        <v>225</v>
      </c>
      <c r="B260" s="23">
        <v>10000</v>
      </c>
      <c r="C260" s="23">
        <v>0</v>
      </c>
      <c r="D260" s="23">
        <v>0</v>
      </c>
      <c r="E260" s="23">
        <f>10000+12000+7000+36000</f>
        <v>65000</v>
      </c>
      <c r="F260" s="23">
        <f>12000+4000</f>
        <v>16000</v>
      </c>
      <c r="G260" s="23">
        <v>0</v>
      </c>
      <c r="H260" s="23">
        <v>0</v>
      </c>
      <c r="I260" s="23">
        <v>45000</v>
      </c>
      <c r="J260" s="23">
        <v>20</v>
      </c>
      <c r="K260" s="23">
        <v>350</v>
      </c>
      <c r="L260" s="23">
        <v>30</v>
      </c>
      <c r="M260" s="23">
        <f>(26*60*20.5)+205000</f>
        <v>236980</v>
      </c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</row>
    <row r="261" spans="1:73" x14ac:dyDescent="0.2">
      <c r="A261" s="23">
        <v>308</v>
      </c>
      <c r="B261" s="23">
        <v>10500</v>
      </c>
      <c r="C261" s="23">
        <v>0</v>
      </c>
      <c r="D261" s="23">
        <v>0</v>
      </c>
      <c r="E261" s="23">
        <v>50000</v>
      </c>
      <c r="F261" s="23">
        <v>15800</v>
      </c>
      <c r="G261" s="23">
        <v>0</v>
      </c>
      <c r="H261" s="23">
        <v>0</v>
      </c>
      <c r="I261" s="23">
        <v>35000</v>
      </c>
      <c r="J261" s="23">
        <v>60</v>
      </c>
      <c r="K261" s="23">
        <v>320</v>
      </c>
      <c r="L261" s="23">
        <v>0</v>
      </c>
      <c r="M261" s="23">
        <f>(35*80*20.5)+147600</f>
        <v>205000</v>
      </c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</row>
    <row r="262" spans="1:73" x14ac:dyDescent="0.2">
      <c r="A262" s="23">
        <v>309</v>
      </c>
      <c r="B262" s="23">
        <v>3287</v>
      </c>
      <c r="C262" s="23">
        <v>0</v>
      </c>
      <c r="D262" s="23">
        <v>0</v>
      </c>
      <c r="E262" s="23">
        <v>24000</v>
      </c>
      <c r="F262" s="23">
        <f>1720+800+880+2600+800+3800</f>
        <v>10600</v>
      </c>
      <c r="G262" s="23">
        <v>0</v>
      </c>
      <c r="H262" s="23">
        <v>0</v>
      </c>
      <c r="I262" s="23">
        <v>18500</v>
      </c>
      <c r="J262" s="23">
        <v>0</v>
      </c>
      <c r="K262" s="23">
        <v>155</v>
      </c>
      <c r="L262" s="23">
        <v>45</v>
      </c>
      <c r="M262" s="23">
        <f>(2205*31)+2250</f>
        <v>70605</v>
      </c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</row>
    <row r="263" spans="1:73" x14ac:dyDescent="0.2">
      <c r="A263" s="23">
        <v>310</v>
      </c>
      <c r="B263" s="23">
        <v>4025</v>
      </c>
      <c r="C263" s="23">
        <v>0</v>
      </c>
      <c r="D263" s="23">
        <v>0</v>
      </c>
      <c r="E263" s="23">
        <f>5500+6600+6600+18000</f>
        <v>36700</v>
      </c>
      <c r="F263" s="23">
        <f>1536+2400+2500+6000</f>
        <v>12436</v>
      </c>
      <c r="G263" s="23">
        <v>0</v>
      </c>
      <c r="H263" s="23">
        <v>0</v>
      </c>
      <c r="I263" s="23">
        <v>28500</v>
      </c>
      <c r="J263" s="23">
        <v>0</v>
      </c>
      <c r="K263" s="23">
        <v>230</v>
      </c>
      <c r="L263" s="23">
        <v>30</v>
      </c>
      <c r="M263" s="23">
        <f>(32*120)+3200</f>
        <v>7040</v>
      </c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</row>
    <row r="264" spans="1:73" s="53" customFormat="1" x14ac:dyDescent="0.2">
      <c r="A264" s="23">
        <v>311</v>
      </c>
      <c r="B264" s="23">
        <v>6000</v>
      </c>
      <c r="C264" s="23">
        <v>0</v>
      </c>
      <c r="D264" s="23">
        <v>0</v>
      </c>
      <c r="E264" s="23">
        <v>17000</v>
      </c>
      <c r="F264" s="23">
        <v>7250</v>
      </c>
      <c r="G264" s="23">
        <v>0</v>
      </c>
      <c r="H264" s="23">
        <v>0</v>
      </c>
      <c r="I264" s="23">
        <v>23000</v>
      </c>
      <c r="J264" s="23">
        <v>0</v>
      </c>
      <c r="K264" s="23">
        <v>150</v>
      </c>
      <c r="L264" s="23">
        <v>75</v>
      </c>
      <c r="M264" s="23">
        <f>30*75*20.5</f>
        <v>46125</v>
      </c>
      <c r="N264" s="23"/>
      <c r="O264" s="23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3">
        <v>0</v>
      </c>
      <c r="AA264" s="23">
        <v>0</v>
      </c>
      <c r="AB264" s="23">
        <v>0</v>
      </c>
      <c r="AC264" s="23">
        <v>13000</v>
      </c>
      <c r="AD264" s="23">
        <v>0</v>
      </c>
      <c r="AE264" s="23">
        <v>6000</v>
      </c>
      <c r="AF264" s="23">
        <v>0</v>
      </c>
      <c r="AG264" s="23">
        <v>10000</v>
      </c>
      <c r="AH264" s="23">
        <v>0</v>
      </c>
      <c r="AI264" s="23">
        <v>1500</v>
      </c>
      <c r="AJ264" s="23">
        <v>0</v>
      </c>
      <c r="AK264" s="23">
        <f>85*1500</f>
        <v>127500</v>
      </c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</row>
    <row r="265" spans="1:73" x14ac:dyDescent="0.2">
      <c r="A265" s="29">
        <v>312</v>
      </c>
      <c r="B265" s="29">
        <v>10000</v>
      </c>
      <c r="C265" s="29">
        <v>0</v>
      </c>
      <c r="D265" s="29">
        <v>0</v>
      </c>
      <c r="E265" s="29">
        <v>25000</v>
      </c>
      <c r="F265" s="29">
        <f>3840+3500</f>
        <v>7340</v>
      </c>
      <c r="G265" s="29">
        <v>0</v>
      </c>
      <c r="H265" s="29">
        <v>0</v>
      </c>
      <c r="I265" s="29">
        <f>33000+12385</f>
        <v>45385</v>
      </c>
      <c r="J265" s="29">
        <v>0</v>
      </c>
      <c r="K265" s="29">
        <v>325</v>
      </c>
      <c r="L265" s="29">
        <v>0</v>
      </c>
      <c r="M265" s="29">
        <f>11375*20.5</f>
        <v>233187.5</v>
      </c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</row>
    <row r="266" spans="1:73" s="53" customFormat="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</row>
    <row r="267" spans="1:73" x14ac:dyDescent="0.2">
      <c r="A267" s="30">
        <v>194</v>
      </c>
      <c r="B267" s="30">
        <v>7560</v>
      </c>
      <c r="C267" s="30">
        <v>0</v>
      </c>
      <c r="D267" s="30">
        <v>0</v>
      </c>
      <c r="E267" s="30">
        <v>29500</v>
      </c>
      <c r="F267" s="30">
        <f>4800+3650</f>
        <v>8450</v>
      </c>
      <c r="G267" s="30">
        <v>0</v>
      </c>
      <c r="H267" s="30">
        <v>0</v>
      </c>
      <c r="I267" s="30">
        <f>36000+1500+1000</f>
        <v>38500</v>
      </c>
      <c r="J267" s="30">
        <v>0</v>
      </c>
      <c r="K267" s="30">
        <v>300</v>
      </c>
      <c r="L267" s="30">
        <v>0</v>
      </c>
      <c r="M267" s="30">
        <f>44*6300</f>
        <v>277200</v>
      </c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 spans="1:73" x14ac:dyDescent="0.2">
      <c r="A268" s="23">
        <v>195</v>
      </c>
      <c r="B268" s="23">
        <v>3780</v>
      </c>
      <c r="C268" s="23">
        <v>0</v>
      </c>
      <c r="D268" s="23">
        <v>0</v>
      </c>
      <c r="E268" s="23">
        <v>18000</v>
      </c>
      <c r="F268" s="23">
        <v>5450</v>
      </c>
      <c r="G268" s="23">
        <v>0</v>
      </c>
      <c r="H268" s="23">
        <v>0</v>
      </c>
      <c r="I268" s="23">
        <v>15500</v>
      </c>
      <c r="J268" s="23">
        <v>0</v>
      </c>
      <c r="K268" s="23">
        <v>105</v>
      </c>
      <c r="L268" s="23">
        <v>30</v>
      </c>
      <c r="M268" s="23">
        <f>37*1575</f>
        <v>58275</v>
      </c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</row>
    <row r="269" spans="1:73" x14ac:dyDescent="0.2">
      <c r="A269" s="23">
        <v>181</v>
      </c>
      <c r="B269" s="23">
        <v>5670</v>
      </c>
      <c r="C269" s="23">
        <v>0</v>
      </c>
      <c r="D269" s="23">
        <v>0</v>
      </c>
      <c r="E269" s="23">
        <v>15000</v>
      </c>
      <c r="F269" s="23">
        <f>840+300+200+700+1700</f>
        <v>3740</v>
      </c>
      <c r="G269" s="23">
        <v>0</v>
      </c>
      <c r="H269" s="23">
        <v>0</v>
      </c>
      <c r="I269" s="23">
        <v>16500</v>
      </c>
      <c r="J269" s="23">
        <v>0</v>
      </c>
      <c r="K269" s="23">
        <v>125</v>
      </c>
      <c r="L269" s="23">
        <v>25</v>
      </c>
      <c r="M269" s="23">
        <f>28*2200</f>
        <v>61600</v>
      </c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</row>
    <row r="270" spans="1:73" x14ac:dyDescent="0.2">
      <c r="A270" s="23">
        <v>183</v>
      </c>
      <c r="B270" s="23">
        <v>4800</v>
      </c>
      <c r="C270" s="23">
        <v>0</v>
      </c>
      <c r="D270" s="23">
        <v>0</v>
      </c>
      <c r="E270" s="23">
        <v>11800</v>
      </c>
      <c r="F270" s="23">
        <v>11500</v>
      </c>
      <c r="G270" s="23">
        <v>0</v>
      </c>
      <c r="H270" s="23">
        <v>0</v>
      </c>
      <c r="I270" s="23">
        <v>21750</v>
      </c>
      <c r="J270" s="23">
        <v>0</v>
      </c>
      <c r="K270" s="23">
        <v>210</v>
      </c>
      <c r="L270" s="23">
        <v>50</v>
      </c>
      <c r="M270" s="23">
        <f>31*3360</f>
        <v>104160</v>
      </c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</row>
    <row r="271" spans="1:73" x14ac:dyDescent="0.2">
      <c r="A271" s="23">
        <v>180</v>
      </c>
      <c r="B271" s="23">
        <v>11880</v>
      </c>
      <c r="C271" s="23">
        <v>0</v>
      </c>
      <c r="D271" s="23">
        <v>0</v>
      </c>
      <c r="E271" s="23">
        <v>38000</v>
      </c>
      <c r="F271" s="23">
        <f>1500+700+600+6000+6000</f>
        <v>14800</v>
      </c>
      <c r="G271" s="23">
        <v>0</v>
      </c>
      <c r="H271" s="23">
        <v>0</v>
      </c>
      <c r="I271" s="23">
        <v>33000</v>
      </c>
      <c r="J271" s="23">
        <v>0</v>
      </c>
      <c r="K271" s="23">
        <v>270</v>
      </c>
      <c r="L271" s="23">
        <v>70</v>
      </c>
      <c r="M271" s="23">
        <f>30.5*4400</f>
        <v>134200</v>
      </c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</row>
    <row r="272" spans="1:73" x14ac:dyDescent="0.2">
      <c r="A272" s="23">
        <v>178</v>
      </c>
      <c r="B272" s="23">
        <v>11880</v>
      </c>
      <c r="C272" s="23">
        <v>0</v>
      </c>
      <c r="D272" s="23">
        <v>0</v>
      </c>
      <c r="E272" s="23">
        <v>59000</v>
      </c>
      <c r="F272" s="23">
        <f>3000+900+700+2500+2600</f>
        <v>9700</v>
      </c>
      <c r="G272" s="23">
        <v>0</v>
      </c>
      <c r="H272" s="23">
        <v>0</v>
      </c>
      <c r="I272" s="23">
        <v>33600</v>
      </c>
      <c r="J272" s="23">
        <v>0</v>
      </c>
      <c r="K272" s="23">
        <v>360</v>
      </c>
      <c r="L272" s="23">
        <v>60</v>
      </c>
      <c r="M272" s="23">
        <f>38*6600</f>
        <v>250800</v>
      </c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</row>
    <row r="273" spans="1:73" x14ac:dyDescent="0.2">
      <c r="A273" s="23">
        <v>179</v>
      </c>
      <c r="B273" s="23">
        <v>11880</v>
      </c>
      <c r="C273" s="23">
        <v>0</v>
      </c>
      <c r="D273" s="23">
        <v>0</v>
      </c>
      <c r="E273" s="23">
        <v>37500</v>
      </c>
      <c r="F273" s="23">
        <f>2500+850+550+1500+8000</f>
        <v>13400</v>
      </c>
      <c r="G273" s="23">
        <v>0</v>
      </c>
      <c r="H273" s="23">
        <v>0</v>
      </c>
      <c r="I273" s="23">
        <v>70000</v>
      </c>
      <c r="J273" s="23">
        <v>0</v>
      </c>
      <c r="K273" s="23">
        <v>210</v>
      </c>
      <c r="L273" s="23">
        <v>35</v>
      </c>
      <c r="M273" s="23">
        <f>27.5*3850</f>
        <v>105875</v>
      </c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</row>
    <row r="274" spans="1:73" x14ac:dyDescent="0.2">
      <c r="A274" s="23">
        <v>182</v>
      </c>
      <c r="B274" s="23">
        <v>3780</v>
      </c>
      <c r="C274" s="23">
        <v>0</v>
      </c>
      <c r="D274" s="23">
        <v>0</v>
      </c>
      <c r="E274" s="23">
        <v>27500</v>
      </c>
      <c r="F274" s="23">
        <f>1500+900+860+1600</f>
        <v>4860</v>
      </c>
      <c r="G274" s="23">
        <v>0</v>
      </c>
      <c r="H274" s="23">
        <v>0</v>
      </c>
      <c r="I274" s="23">
        <f>21000+3600+1500</f>
        <v>26100</v>
      </c>
      <c r="J274" s="23">
        <v>0</v>
      </c>
      <c r="K274" s="23">
        <v>150</v>
      </c>
      <c r="L274" s="23">
        <v>30</v>
      </c>
      <c r="M274" s="23">
        <f>31*2640</f>
        <v>81840</v>
      </c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</row>
    <row r="275" spans="1:73" x14ac:dyDescent="0.2">
      <c r="A275" s="23">
        <v>79</v>
      </c>
      <c r="B275" s="23">
        <v>9702</v>
      </c>
      <c r="C275" s="23">
        <v>0</v>
      </c>
      <c r="D275" s="23">
        <v>0</v>
      </c>
      <c r="E275" s="23">
        <v>30000</v>
      </c>
      <c r="F275" s="23">
        <f>2700+1350+1350+6000</f>
        <v>11400</v>
      </c>
      <c r="G275" s="23">
        <v>0</v>
      </c>
      <c r="H275" s="23">
        <v>0</v>
      </c>
      <c r="I275" s="23">
        <v>33000</v>
      </c>
      <c r="J275" s="23">
        <v>0</v>
      </c>
      <c r="K275" s="23">
        <v>240</v>
      </c>
      <c r="L275" s="23">
        <v>40</v>
      </c>
      <c r="M275" s="23">
        <f>35*4400</f>
        <v>154000</v>
      </c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</row>
    <row r="276" spans="1:73" x14ac:dyDescent="0.2">
      <c r="A276" s="23">
        <v>80</v>
      </c>
      <c r="B276" s="23">
        <v>14300</v>
      </c>
      <c r="C276" s="23">
        <v>0</v>
      </c>
      <c r="D276" s="23">
        <v>0</v>
      </c>
      <c r="E276" s="23">
        <v>49000</v>
      </c>
      <c r="F276" s="23">
        <f>2700+1350+1350+1000+1650</f>
        <v>8050</v>
      </c>
      <c r="G276" s="23">
        <v>0</v>
      </c>
      <c r="H276" s="23">
        <v>0</v>
      </c>
      <c r="I276" s="23">
        <v>32500</v>
      </c>
      <c r="J276" s="23">
        <v>0</v>
      </c>
      <c r="K276" s="23">
        <v>300</v>
      </c>
      <c r="L276" s="23">
        <v>25</v>
      </c>
      <c r="M276" s="23">
        <f>41*6050</f>
        <v>248050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</row>
    <row r="277" spans="1:73" x14ac:dyDescent="0.2">
      <c r="A277" s="23">
        <v>77</v>
      </c>
      <c r="B277" s="23">
        <v>13860</v>
      </c>
      <c r="C277" s="23">
        <v>0</v>
      </c>
      <c r="D277" s="23">
        <v>0</v>
      </c>
      <c r="E277" s="23">
        <v>59000</v>
      </c>
      <c r="F277" s="23">
        <f>2700+1350+1350+3900+1800+13000</f>
        <v>24100</v>
      </c>
      <c r="G277" s="23">
        <v>0</v>
      </c>
      <c r="H277" s="23">
        <v>0</v>
      </c>
      <c r="I277" s="23">
        <f>39000+5000+8000</f>
        <v>52000</v>
      </c>
      <c r="J277" s="23">
        <v>0</v>
      </c>
      <c r="K277" s="23">
        <v>220</v>
      </c>
      <c r="L277" s="23">
        <v>35</v>
      </c>
      <c r="M277" s="23">
        <f>26*4070</f>
        <v>105820</v>
      </c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</row>
    <row r="278" spans="1:73" x14ac:dyDescent="0.2">
      <c r="A278" s="23">
        <v>78</v>
      </c>
      <c r="B278" s="23">
        <v>9702</v>
      </c>
      <c r="C278" s="23">
        <v>0</v>
      </c>
      <c r="D278" s="23">
        <v>0</v>
      </c>
      <c r="E278" s="23">
        <v>39000</v>
      </c>
      <c r="F278" s="23">
        <f>2700+1350+1350+6000</f>
        <v>11400</v>
      </c>
      <c r="G278" s="23">
        <v>0</v>
      </c>
      <c r="H278" s="23">
        <v>0</v>
      </c>
      <c r="I278" s="23">
        <v>33000</v>
      </c>
      <c r="J278" s="23">
        <v>0</v>
      </c>
      <c r="K278" s="23">
        <v>205</v>
      </c>
      <c r="L278" s="23">
        <v>30</v>
      </c>
      <c r="M278" s="23">
        <f>28*3850</f>
        <v>107800</v>
      </c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</row>
    <row r="279" spans="1:73" x14ac:dyDescent="0.2">
      <c r="A279" s="29">
        <v>76</v>
      </c>
      <c r="B279" s="29">
        <v>7200</v>
      </c>
      <c r="C279" s="29">
        <v>0</v>
      </c>
      <c r="D279" s="29">
        <v>0</v>
      </c>
      <c r="E279" s="29">
        <v>55000</v>
      </c>
      <c r="F279" s="29">
        <f>3000+900+750+1200+1600+3500</f>
        <v>10950</v>
      </c>
      <c r="G279" s="29">
        <v>0</v>
      </c>
      <c r="H279" s="29">
        <v>0</v>
      </c>
      <c r="I279" s="29">
        <v>36000</v>
      </c>
      <c r="J279" s="29">
        <v>0</v>
      </c>
      <c r="K279" s="29">
        <v>250</v>
      </c>
      <c r="L279" s="29">
        <v>50</v>
      </c>
      <c r="M279" s="29">
        <f>30*4400</f>
        <v>132000</v>
      </c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</row>
    <row r="280" spans="1:73" s="53" customFormat="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</row>
  </sheetData>
  <mergeCells count="43">
    <mergeCell ref="AT2:AT3"/>
    <mergeCell ref="BF2:BF3"/>
    <mergeCell ref="BR2:BR3"/>
    <mergeCell ref="BP2:BQ2"/>
    <mergeCell ref="BS2:BU2"/>
    <mergeCell ref="BJ2:BK2"/>
    <mergeCell ref="BL2:BM2"/>
    <mergeCell ref="BN2:BO2"/>
    <mergeCell ref="A1:A3"/>
    <mergeCell ref="J2:J3"/>
    <mergeCell ref="BB2:BC2"/>
    <mergeCell ref="BD2:BE2"/>
    <mergeCell ref="BG2:BI2"/>
    <mergeCell ref="AN2:AO2"/>
    <mergeCell ref="AP2:AQ2"/>
    <mergeCell ref="AR2:AS2"/>
    <mergeCell ref="AU2:AW2"/>
    <mergeCell ref="AX2:AY2"/>
    <mergeCell ref="AZ2:BA2"/>
    <mergeCell ref="AL2:AM2"/>
    <mergeCell ref="N2:O2"/>
    <mergeCell ref="P2:Q2"/>
    <mergeCell ref="R2:S2"/>
    <mergeCell ref="T2:U2"/>
    <mergeCell ref="AI2:AK2"/>
    <mergeCell ref="V2:V3"/>
    <mergeCell ref="AH2:AH3"/>
    <mergeCell ref="K2:M2"/>
    <mergeCell ref="B2:C2"/>
    <mergeCell ref="D2:E2"/>
    <mergeCell ref="F2:G2"/>
    <mergeCell ref="H2:I2"/>
    <mergeCell ref="W2:Y2"/>
    <mergeCell ref="Z2:AA2"/>
    <mergeCell ref="AB2:AC2"/>
    <mergeCell ref="AD2:AE2"/>
    <mergeCell ref="AF2:AG2"/>
    <mergeCell ref="BJ1:BU1"/>
    <mergeCell ref="B1:M1"/>
    <mergeCell ref="N1:Y1"/>
    <mergeCell ref="Z1:AK1"/>
    <mergeCell ref="AL1:AW1"/>
    <mergeCell ref="AX1:BI1"/>
  </mergeCells>
  <pageMargins left="0.7" right="0.7" top="0.75" bottom="0.75" header="0.3" footer="0.3"/>
  <pageSetup paperSize="9" orientation="landscape" horizontalDpi="4294967293" r:id="rId1"/>
  <headerFooter>
    <oddHeader>&amp;C&amp;"Century,Regular"&amp;10Annexure 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2"/>
  <sheetViews>
    <sheetView view="pageLayout" zoomScaleNormal="100" workbookViewId="0">
      <selection activeCell="AA2" sqref="AA2:AB3"/>
    </sheetView>
  </sheetViews>
  <sheetFormatPr defaultRowHeight="12.75" x14ac:dyDescent="0.2"/>
  <cols>
    <col min="1" max="1" width="7.140625" style="34" customWidth="1"/>
    <col min="2" max="2" width="6.28515625" style="34" customWidth="1"/>
    <col min="3" max="3" width="5.42578125" style="34" customWidth="1"/>
    <col min="4" max="4" width="7.42578125" style="34" customWidth="1"/>
    <col min="5" max="6" width="6.5703125" style="34" customWidth="1"/>
    <col min="7" max="7" width="6" style="34" customWidth="1"/>
    <col min="8" max="8" width="5.28515625" style="34" customWidth="1"/>
    <col min="9" max="9" width="6.85546875" style="34" customWidth="1"/>
    <col min="10" max="10" width="5.5703125" style="34" customWidth="1"/>
    <col min="11" max="11" width="6.7109375" style="34" customWidth="1"/>
    <col min="12" max="12" width="6" style="34" customWidth="1"/>
    <col min="13" max="13" width="5.5703125" style="34" bestFit="1" customWidth="1"/>
    <col min="14" max="14" width="7.42578125" style="34" customWidth="1"/>
    <col min="15" max="15" width="5.7109375" style="34" bestFit="1" customWidth="1"/>
    <col min="16" max="16" width="7" style="34" customWidth="1"/>
    <col min="17" max="17" width="6" style="34" customWidth="1"/>
    <col min="18" max="18" width="5.42578125" style="34" customWidth="1"/>
    <col min="19" max="19" width="7.5703125" style="34" bestFit="1" customWidth="1"/>
    <col min="20" max="20" width="5.7109375" style="34" customWidth="1"/>
    <col min="21" max="21" width="6.5703125" style="34" customWidth="1"/>
    <col min="22" max="22" width="6.42578125" style="34" customWidth="1"/>
    <col min="23" max="23" width="5.5703125" style="34" customWidth="1"/>
    <col min="24" max="24" width="7.140625" style="34" customWidth="1"/>
    <col min="25" max="25" width="5.7109375" style="34" bestFit="1" customWidth="1"/>
    <col min="26" max="26" width="7.28515625" style="34" customWidth="1"/>
    <col min="27" max="27" width="6.5703125" style="34" customWidth="1"/>
    <col min="28" max="28" width="5.5703125" style="34" customWidth="1"/>
    <col min="29" max="29" width="5.28515625" style="34" customWidth="1"/>
    <col min="30" max="30" width="5.7109375" style="34" customWidth="1"/>
    <col min="31" max="31" width="6.5703125" style="34" customWidth="1"/>
    <col min="32" max="16384" width="9.140625" style="34"/>
  </cols>
  <sheetData>
    <row r="1" spans="1:31" ht="25.5" customHeight="1" x14ac:dyDescent="0.2">
      <c r="A1" s="88" t="s">
        <v>0</v>
      </c>
      <c r="B1" s="91" t="s">
        <v>25</v>
      </c>
      <c r="C1" s="91"/>
      <c r="D1" s="91"/>
      <c r="E1" s="91"/>
      <c r="F1" s="91"/>
      <c r="G1" s="91" t="s">
        <v>26</v>
      </c>
      <c r="H1" s="91"/>
      <c r="I1" s="91"/>
      <c r="J1" s="91"/>
      <c r="K1" s="91"/>
      <c r="L1" s="91" t="s">
        <v>27</v>
      </c>
      <c r="M1" s="91"/>
      <c r="N1" s="91"/>
      <c r="O1" s="91"/>
      <c r="P1" s="91"/>
      <c r="Q1" s="91" t="s">
        <v>28</v>
      </c>
      <c r="R1" s="91"/>
      <c r="S1" s="91"/>
      <c r="T1" s="91"/>
      <c r="U1" s="91"/>
      <c r="V1" s="91" t="s">
        <v>29</v>
      </c>
      <c r="W1" s="91"/>
      <c r="X1" s="91"/>
      <c r="Y1" s="91"/>
      <c r="Z1" s="91"/>
      <c r="AA1" s="91" t="s">
        <v>30</v>
      </c>
      <c r="AB1" s="91"/>
      <c r="AC1" s="91"/>
      <c r="AD1" s="91"/>
      <c r="AE1" s="91"/>
    </row>
    <row r="2" spans="1:31" ht="63.75" customHeight="1" x14ac:dyDescent="0.2">
      <c r="A2" s="88"/>
      <c r="B2" s="87" t="s">
        <v>42</v>
      </c>
      <c r="C2" s="87" t="s">
        <v>43</v>
      </c>
      <c r="D2" s="88" t="s">
        <v>44</v>
      </c>
      <c r="E2" s="88"/>
      <c r="F2" s="88"/>
      <c r="G2" s="89" t="s">
        <v>42</v>
      </c>
      <c r="H2" s="89" t="s">
        <v>43</v>
      </c>
      <c r="I2" s="88" t="s">
        <v>44</v>
      </c>
      <c r="J2" s="88"/>
      <c r="K2" s="88"/>
      <c r="L2" s="89" t="s">
        <v>42</v>
      </c>
      <c r="M2" s="89" t="s">
        <v>43</v>
      </c>
      <c r="N2" s="88" t="s">
        <v>44</v>
      </c>
      <c r="O2" s="88"/>
      <c r="P2" s="88"/>
      <c r="Q2" s="89" t="s">
        <v>42</v>
      </c>
      <c r="R2" s="89" t="s">
        <v>43</v>
      </c>
      <c r="S2" s="88" t="s">
        <v>44</v>
      </c>
      <c r="T2" s="88"/>
      <c r="U2" s="88"/>
      <c r="V2" s="87" t="s">
        <v>42</v>
      </c>
      <c r="W2" s="87" t="s">
        <v>43</v>
      </c>
      <c r="X2" s="88" t="s">
        <v>44</v>
      </c>
      <c r="Y2" s="88"/>
      <c r="Z2" s="88"/>
      <c r="AA2" s="87" t="s">
        <v>42</v>
      </c>
      <c r="AB2" s="87" t="s">
        <v>43</v>
      </c>
      <c r="AC2" s="88" t="s">
        <v>44</v>
      </c>
      <c r="AD2" s="88"/>
      <c r="AE2" s="88"/>
    </row>
    <row r="3" spans="1:31" ht="38.25" customHeight="1" x14ac:dyDescent="0.2">
      <c r="A3" s="88"/>
      <c r="B3" s="87"/>
      <c r="C3" s="87"/>
      <c r="D3" s="43" t="s">
        <v>45</v>
      </c>
      <c r="E3" s="43" t="s">
        <v>46</v>
      </c>
      <c r="F3" s="43" t="s">
        <v>47</v>
      </c>
      <c r="G3" s="90"/>
      <c r="H3" s="90"/>
      <c r="I3" s="43" t="s">
        <v>45</v>
      </c>
      <c r="J3" s="43" t="s">
        <v>46</v>
      </c>
      <c r="K3" s="43" t="s">
        <v>47</v>
      </c>
      <c r="L3" s="90"/>
      <c r="M3" s="90"/>
      <c r="N3" s="43" t="s">
        <v>45</v>
      </c>
      <c r="O3" s="43" t="s">
        <v>46</v>
      </c>
      <c r="P3" s="43" t="s">
        <v>47</v>
      </c>
      <c r="Q3" s="90"/>
      <c r="R3" s="90"/>
      <c r="S3" s="43" t="s">
        <v>45</v>
      </c>
      <c r="T3" s="43" t="s">
        <v>46</v>
      </c>
      <c r="U3" s="43" t="s">
        <v>47</v>
      </c>
      <c r="V3" s="87"/>
      <c r="W3" s="87"/>
      <c r="X3" s="43" t="s">
        <v>45</v>
      </c>
      <c r="Y3" s="43" t="s">
        <v>46</v>
      </c>
      <c r="Z3" s="43" t="s">
        <v>47</v>
      </c>
      <c r="AA3" s="87"/>
      <c r="AB3" s="87"/>
      <c r="AC3" s="43" t="s">
        <v>45</v>
      </c>
      <c r="AD3" s="43" t="s">
        <v>46</v>
      </c>
      <c r="AE3" s="43" t="s">
        <v>47</v>
      </c>
    </row>
    <row r="4" spans="1:31" s="35" customFormat="1" x14ac:dyDescent="0.2">
      <c r="A4" s="44">
        <v>206</v>
      </c>
      <c r="B4" s="44">
        <v>3</v>
      </c>
      <c r="C4" s="44">
        <v>2</v>
      </c>
      <c r="D4" s="44">
        <v>5</v>
      </c>
      <c r="E4" s="44">
        <v>1</v>
      </c>
      <c r="F4" s="44">
        <v>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spans="1:31" s="35" customFormat="1" x14ac:dyDescent="0.2">
      <c r="A5" s="44">
        <v>207</v>
      </c>
      <c r="B5" s="44">
        <v>2</v>
      </c>
      <c r="C5" s="44">
        <v>1</v>
      </c>
      <c r="D5" s="44">
        <v>2</v>
      </c>
      <c r="E5" s="44">
        <v>4</v>
      </c>
      <c r="F5" s="44">
        <v>4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</row>
    <row r="6" spans="1:31" s="35" customFormat="1" x14ac:dyDescent="0.2">
      <c r="A6" s="44" t="s">
        <v>74</v>
      </c>
      <c r="B6" s="44">
        <v>3</v>
      </c>
      <c r="C6" s="44">
        <v>5</v>
      </c>
      <c r="D6" s="44">
        <v>2</v>
      </c>
      <c r="E6" s="44">
        <v>3</v>
      </c>
      <c r="F6" s="44">
        <v>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</row>
    <row r="7" spans="1:31" s="35" customFormat="1" x14ac:dyDescent="0.2">
      <c r="A7" s="44">
        <v>303</v>
      </c>
      <c r="B7" s="44">
        <v>3</v>
      </c>
      <c r="C7" s="44">
        <v>2</v>
      </c>
      <c r="D7" s="44">
        <v>2</v>
      </c>
      <c r="E7" s="44">
        <v>2</v>
      </c>
      <c r="F7" s="44">
        <v>4</v>
      </c>
      <c r="G7" s="44">
        <v>3</v>
      </c>
      <c r="H7" s="44">
        <v>1</v>
      </c>
      <c r="I7" s="44">
        <v>3</v>
      </c>
      <c r="J7" s="44">
        <v>2</v>
      </c>
      <c r="K7" s="44">
        <v>2</v>
      </c>
      <c r="L7" s="44">
        <v>3</v>
      </c>
      <c r="M7" s="44">
        <v>1</v>
      </c>
      <c r="N7" s="44">
        <v>3</v>
      </c>
      <c r="O7" s="44">
        <v>2</v>
      </c>
      <c r="P7" s="44">
        <v>2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spans="1:31" s="35" customFormat="1" x14ac:dyDescent="0.2">
      <c r="A8" s="44">
        <v>304</v>
      </c>
      <c r="B8" s="44">
        <v>3</v>
      </c>
      <c r="C8" s="44">
        <v>2</v>
      </c>
      <c r="D8" s="44">
        <v>2</v>
      </c>
      <c r="E8" s="44">
        <v>3</v>
      </c>
      <c r="F8" s="44">
        <v>4</v>
      </c>
      <c r="G8" s="44">
        <v>3</v>
      </c>
      <c r="H8" s="44">
        <v>1</v>
      </c>
      <c r="I8" s="44">
        <v>3</v>
      </c>
      <c r="J8" s="44">
        <v>2</v>
      </c>
      <c r="K8" s="44">
        <v>2</v>
      </c>
      <c r="L8" s="44">
        <v>3</v>
      </c>
      <c r="M8" s="44">
        <v>1</v>
      </c>
      <c r="N8" s="44">
        <v>2</v>
      </c>
      <c r="O8" s="44">
        <v>2</v>
      </c>
      <c r="P8" s="44">
        <v>2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</row>
    <row r="9" spans="1:31" s="35" customFormat="1" x14ac:dyDescent="0.2">
      <c r="A9" s="44">
        <v>305</v>
      </c>
      <c r="B9" s="44">
        <v>3</v>
      </c>
      <c r="C9" s="44">
        <v>1</v>
      </c>
      <c r="D9" s="44">
        <v>2</v>
      </c>
      <c r="E9" s="44">
        <v>3</v>
      </c>
      <c r="F9" s="44">
        <v>4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</row>
    <row r="10" spans="1:31" s="35" customFormat="1" x14ac:dyDescent="0.2">
      <c r="A10" s="44">
        <v>258</v>
      </c>
      <c r="B10" s="44">
        <v>2</v>
      </c>
      <c r="C10" s="44">
        <v>2</v>
      </c>
      <c r="D10" s="44">
        <v>3</v>
      </c>
      <c r="E10" s="44">
        <v>5</v>
      </c>
      <c r="F10" s="44">
        <v>3</v>
      </c>
      <c r="G10" s="44"/>
      <c r="H10" s="44"/>
      <c r="I10" s="44"/>
      <c r="J10" s="44"/>
      <c r="K10" s="44"/>
      <c r="L10" s="44">
        <v>1</v>
      </c>
      <c r="M10" s="44">
        <v>2</v>
      </c>
      <c r="N10" s="44">
        <v>3</v>
      </c>
      <c r="O10" s="44">
        <v>5</v>
      </c>
      <c r="P10" s="44">
        <v>3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s="35" customFormat="1" x14ac:dyDescent="0.2">
      <c r="A11" s="44">
        <v>259</v>
      </c>
      <c r="B11" s="44">
        <v>2</v>
      </c>
      <c r="C11" s="44">
        <v>1</v>
      </c>
      <c r="D11" s="44">
        <v>3</v>
      </c>
      <c r="E11" s="44">
        <v>3</v>
      </c>
      <c r="F11" s="44">
        <v>3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s="35" customFormat="1" x14ac:dyDescent="0.2">
      <c r="A12" s="44">
        <v>26</v>
      </c>
      <c r="B12" s="44">
        <v>3</v>
      </c>
      <c r="C12" s="44">
        <v>2</v>
      </c>
      <c r="D12" s="44">
        <v>2</v>
      </c>
      <c r="E12" s="44">
        <v>2</v>
      </c>
      <c r="F12" s="44">
        <v>3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s="35" customFormat="1" x14ac:dyDescent="0.2">
      <c r="A13" s="44">
        <v>29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s="35" customFormat="1" x14ac:dyDescent="0.2">
      <c r="A14" s="44">
        <v>127</v>
      </c>
      <c r="B14" s="44">
        <v>1</v>
      </c>
      <c r="C14" s="44">
        <v>1</v>
      </c>
      <c r="D14" s="44">
        <v>1</v>
      </c>
      <c r="E14" s="44">
        <v>3</v>
      </c>
      <c r="F14" s="44">
        <v>2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s="35" customFormat="1" x14ac:dyDescent="0.2">
      <c r="A15" s="44">
        <v>128</v>
      </c>
      <c r="B15" s="44">
        <v>1</v>
      </c>
      <c r="C15" s="44">
        <v>1</v>
      </c>
      <c r="D15" s="44">
        <v>1</v>
      </c>
      <c r="E15" s="44">
        <v>1</v>
      </c>
      <c r="F15" s="44">
        <v>2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s="35" customFormat="1" x14ac:dyDescent="0.2">
      <c r="A16" s="44">
        <v>126</v>
      </c>
      <c r="B16" s="44">
        <v>1</v>
      </c>
      <c r="C16" s="44">
        <v>1</v>
      </c>
      <c r="D16" s="44">
        <v>1</v>
      </c>
      <c r="E16" s="44">
        <v>1</v>
      </c>
      <c r="F16" s="44">
        <v>2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7" spans="1:31" s="35" customFormat="1" x14ac:dyDescent="0.2">
      <c r="A17" s="44">
        <v>129</v>
      </c>
      <c r="B17" s="44">
        <v>3</v>
      </c>
      <c r="C17" s="44">
        <v>1</v>
      </c>
      <c r="D17" s="44">
        <v>1</v>
      </c>
      <c r="E17" s="44">
        <v>4</v>
      </c>
      <c r="F17" s="44">
        <v>1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</row>
    <row r="18" spans="1:31" s="35" customFormat="1" x14ac:dyDescent="0.2">
      <c r="A18" s="48">
        <v>25</v>
      </c>
      <c r="B18" s="48">
        <v>3</v>
      </c>
      <c r="C18" s="48">
        <v>2</v>
      </c>
      <c r="D18" s="48">
        <v>2</v>
      </c>
      <c r="E18" s="48">
        <v>2</v>
      </c>
      <c r="F18" s="48">
        <v>4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 spans="1:31" s="36" customFormat="1" x14ac:dyDescent="0.2"/>
    <row r="20" spans="1:31" x14ac:dyDescent="0.2">
      <c r="A20" s="47">
        <v>110</v>
      </c>
      <c r="B20" s="47">
        <v>3</v>
      </c>
      <c r="C20" s="47">
        <v>2</v>
      </c>
      <c r="D20" s="47">
        <v>1</v>
      </c>
      <c r="E20" s="47">
        <v>1</v>
      </c>
      <c r="F20" s="47">
        <v>1</v>
      </c>
      <c r="G20" s="47">
        <v>3</v>
      </c>
      <c r="H20" s="47">
        <v>1</v>
      </c>
      <c r="I20" s="47">
        <v>4</v>
      </c>
      <c r="J20" s="47">
        <v>3</v>
      </c>
      <c r="K20" s="47">
        <v>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x14ac:dyDescent="0.2">
      <c r="A21" s="45">
        <v>111</v>
      </c>
      <c r="B21" s="45"/>
      <c r="C21" s="45"/>
      <c r="D21" s="45"/>
      <c r="E21" s="45"/>
      <c r="F21" s="45"/>
      <c r="G21" s="45">
        <v>3</v>
      </c>
      <c r="H21" s="45">
        <v>1</v>
      </c>
      <c r="I21" s="45">
        <v>1</v>
      </c>
      <c r="J21" s="45">
        <v>4</v>
      </c>
      <c r="K21" s="45">
        <v>1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</row>
    <row r="22" spans="1:31" x14ac:dyDescent="0.2">
      <c r="A22" s="45">
        <v>112</v>
      </c>
      <c r="B22" s="45"/>
      <c r="C22" s="45"/>
      <c r="D22" s="45"/>
      <c r="E22" s="45"/>
      <c r="F22" s="45"/>
      <c r="G22" s="45">
        <v>3</v>
      </c>
      <c r="H22" s="45">
        <v>1</v>
      </c>
      <c r="I22" s="45">
        <v>2</v>
      </c>
      <c r="J22" s="45">
        <v>4</v>
      </c>
      <c r="K22" s="45">
        <v>1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</row>
    <row r="23" spans="1:31" x14ac:dyDescent="0.2">
      <c r="A23" s="45">
        <v>113</v>
      </c>
      <c r="B23" s="45">
        <v>2</v>
      </c>
      <c r="C23" s="45">
        <v>1</v>
      </c>
      <c r="D23" s="45">
        <v>4</v>
      </c>
      <c r="E23" s="45">
        <v>4</v>
      </c>
      <c r="F23" s="45">
        <v>1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 spans="1:31" x14ac:dyDescent="0.2">
      <c r="A24" s="45">
        <v>114</v>
      </c>
      <c r="B24" s="45">
        <v>1</v>
      </c>
      <c r="C24" s="45">
        <v>1</v>
      </c>
      <c r="D24" s="45">
        <v>2</v>
      </c>
      <c r="E24" s="45">
        <v>2</v>
      </c>
      <c r="F24" s="45">
        <v>1</v>
      </c>
      <c r="G24" s="45">
        <v>2</v>
      </c>
      <c r="H24" s="45">
        <v>1</v>
      </c>
      <c r="I24" s="45">
        <v>3</v>
      </c>
      <c r="J24" s="45">
        <v>3</v>
      </c>
      <c r="K24" s="45">
        <v>5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</row>
    <row r="25" spans="1:31" x14ac:dyDescent="0.2">
      <c r="A25" s="45">
        <v>115</v>
      </c>
      <c r="B25" s="45">
        <v>3</v>
      </c>
      <c r="C25" s="45">
        <v>2</v>
      </c>
      <c r="D25" s="45">
        <v>1</v>
      </c>
      <c r="E25" s="45">
        <v>1</v>
      </c>
      <c r="F25" s="45">
        <v>5</v>
      </c>
      <c r="G25" s="45">
        <v>3</v>
      </c>
      <c r="H25" s="45">
        <v>1</v>
      </c>
      <c r="I25" s="45">
        <v>4</v>
      </c>
      <c r="J25" s="45">
        <v>5</v>
      </c>
      <c r="K25" s="45">
        <v>5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</row>
    <row r="26" spans="1:31" x14ac:dyDescent="0.2">
      <c r="A26" s="45">
        <v>116</v>
      </c>
      <c r="B26" s="45">
        <v>3</v>
      </c>
      <c r="C26" s="45">
        <v>1</v>
      </c>
      <c r="D26" s="45">
        <v>1</v>
      </c>
      <c r="E26" s="45">
        <v>1</v>
      </c>
      <c r="F26" s="45">
        <v>5</v>
      </c>
      <c r="G26" s="45">
        <v>3</v>
      </c>
      <c r="H26" s="45">
        <v>1</v>
      </c>
      <c r="I26" s="45">
        <v>5</v>
      </c>
      <c r="J26" s="45">
        <v>5</v>
      </c>
      <c r="K26" s="45">
        <v>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</row>
    <row r="27" spans="1:31" x14ac:dyDescent="0.2">
      <c r="A27" s="45">
        <v>117</v>
      </c>
      <c r="B27" s="45">
        <v>2</v>
      </c>
      <c r="C27" s="45">
        <v>1</v>
      </c>
      <c r="D27" s="45">
        <v>1</v>
      </c>
      <c r="E27" s="45">
        <v>5</v>
      </c>
      <c r="F27" s="45">
        <v>3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</row>
    <row r="28" spans="1:31" x14ac:dyDescent="0.2">
      <c r="A28" s="45">
        <v>118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>
        <v>3</v>
      </c>
      <c r="W28" s="45">
        <v>1</v>
      </c>
      <c r="X28" s="45">
        <v>5</v>
      </c>
      <c r="Y28" s="45">
        <v>5</v>
      </c>
      <c r="Z28" s="45">
        <v>1</v>
      </c>
      <c r="AA28" s="45"/>
      <c r="AB28" s="45"/>
      <c r="AC28" s="45"/>
      <c r="AD28" s="45"/>
      <c r="AE28" s="45"/>
    </row>
    <row r="29" spans="1:31" x14ac:dyDescent="0.2">
      <c r="A29" s="45">
        <v>119</v>
      </c>
      <c r="B29" s="45">
        <v>3</v>
      </c>
      <c r="C29" s="45">
        <v>1</v>
      </c>
      <c r="D29" s="45">
        <v>1</v>
      </c>
      <c r="E29" s="45">
        <v>1</v>
      </c>
      <c r="F29" s="45">
        <v>3</v>
      </c>
      <c r="G29" s="45">
        <v>3</v>
      </c>
      <c r="H29" s="45">
        <v>1</v>
      </c>
      <c r="I29" s="45">
        <v>5</v>
      </c>
      <c r="J29" s="45">
        <v>5</v>
      </c>
      <c r="K29" s="45">
        <v>1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</row>
    <row r="30" spans="1:31" x14ac:dyDescent="0.2">
      <c r="A30" s="45">
        <v>120</v>
      </c>
      <c r="B30" s="45">
        <v>2</v>
      </c>
      <c r="C30" s="45">
        <v>1</v>
      </c>
      <c r="D30" s="45">
        <v>3</v>
      </c>
      <c r="E30" s="45">
        <v>4</v>
      </c>
      <c r="F30" s="45">
        <v>4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 spans="1:31" x14ac:dyDescent="0.2">
      <c r="A31" s="45">
        <v>121</v>
      </c>
      <c r="B31" s="45">
        <v>3</v>
      </c>
      <c r="C31" s="45">
        <v>1</v>
      </c>
      <c r="D31" s="45">
        <v>3</v>
      </c>
      <c r="E31" s="45">
        <v>4</v>
      </c>
      <c r="F31" s="45">
        <v>4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</row>
    <row r="32" spans="1:31" x14ac:dyDescent="0.2">
      <c r="A32" s="45">
        <v>122</v>
      </c>
      <c r="B32" s="45">
        <v>3</v>
      </c>
      <c r="C32" s="45">
        <v>1</v>
      </c>
      <c r="D32" s="45">
        <v>4</v>
      </c>
      <c r="E32" s="45">
        <v>4</v>
      </c>
      <c r="F32" s="45">
        <v>3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x14ac:dyDescent="0.2">
      <c r="A33" s="45">
        <v>123</v>
      </c>
      <c r="B33" s="45">
        <v>2</v>
      </c>
      <c r="C33" s="45">
        <v>1</v>
      </c>
      <c r="D33" s="45">
        <v>1</v>
      </c>
      <c r="E33" s="45">
        <v>1</v>
      </c>
      <c r="F33" s="45">
        <v>1</v>
      </c>
      <c r="G33" s="45">
        <v>3</v>
      </c>
      <c r="H33" s="45">
        <v>1</v>
      </c>
      <c r="I33" s="45">
        <v>4</v>
      </c>
      <c r="J33" s="45">
        <v>5</v>
      </c>
      <c r="K33" s="45">
        <v>1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x14ac:dyDescent="0.2">
      <c r="A34" s="45">
        <v>124</v>
      </c>
      <c r="B34" s="45">
        <v>3</v>
      </c>
      <c r="C34" s="45">
        <v>1</v>
      </c>
      <c r="D34" s="45">
        <v>1</v>
      </c>
      <c r="E34" s="45">
        <v>1</v>
      </c>
      <c r="F34" s="45">
        <v>1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x14ac:dyDescent="0.2">
      <c r="A35" s="45">
        <v>125</v>
      </c>
      <c r="B35" s="45">
        <v>1</v>
      </c>
      <c r="C35" s="45">
        <v>1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5</v>
      </c>
      <c r="J35" s="45">
        <v>5</v>
      </c>
      <c r="K35" s="45">
        <v>5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x14ac:dyDescent="0.2">
      <c r="A36" s="45">
        <v>10</v>
      </c>
      <c r="B36" s="45">
        <v>2</v>
      </c>
      <c r="C36" s="45">
        <v>4</v>
      </c>
      <c r="D36" s="45">
        <v>5</v>
      </c>
      <c r="E36" s="45">
        <v>4</v>
      </c>
      <c r="F36" s="45">
        <v>4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x14ac:dyDescent="0.2">
      <c r="A37" s="45">
        <v>11</v>
      </c>
      <c r="B37" s="45">
        <v>2</v>
      </c>
      <c r="C37" s="45">
        <v>2</v>
      </c>
      <c r="D37" s="45">
        <v>2</v>
      </c>
      <c r="E37" s="45">
        <v>2</v>
      </c>
      <c r="F37" s="45">
        <v>4</v>
      </c>
      <c r="G37" s="45">
        <v>2</v>
      </c>
      <c r="H37" s="45">
        <v>1</v>
      </c>
      <c r="I37" s="45">
        <v>4</v>
      </c>
      <c r="J37" s="45">
        <v>4</v>
      </c>
      <c r="K37" s="45">
        <v>2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x14ac:dyDescent="0.2">
      <c r="A38" s="45">
        <v>12</v>
      </c>
      <c r="B38" s="45">
        <v>2</v>
      </c>
      <c r="C38" s="45">
        <v>2</v>
      </c>
      <c r="D38" s="45">
        <v>1</v>
      </c>
      <c r="E38" s="45">
        <v>2</v>
      </c>
      <c r="F38" s="45">
        <v>5</v>
      </c>
      <c r="G38" s="45">
        <v>2</v>
      </c>
      <c r="H38" s="45">
        <v>1</v>
      </c>
      <c r="I38" s="45">
        <v>1</v>
      </c>
      <c r="J38" s="45">
        <v>2</v>
      </c>
      <c r="K38" s="45">
        <v>2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x14ac:dyDescent="0.2">
      <c r="A39" s="45">
        <v>13</v>
      </c>
      <c r="B39" s="45">
        <v>3</v>
      </c>
      <c r="C39" s="45">
        <v>1</v>
      </c>
      <c r="D39" s="45">
        <v>3</v>
      </c>
      <c r="E39" s="45">
        <v>3</v>
      </c>
      <c r="F39" s="45">
        <v>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x14ac:dyDescent="0.2">
      <c r="A40" s="45">
        <v>14</v>
      </c>
      <c r="B40" s="45">
        <v>3</v>
      </c>
      <c r="C40" s="45">
        <v>2</v>
      </c>
      <c r="D40" s="45">
        <v>2</v>
      </c>
      <c r="E40" s="45">
        <v>3</v>
      </c>
      <c r="F40" s="45">
        <v>4</v>
      </c>
      <c r="G40" s="45">
        <v>3</v>
      </c>
      <c r="H40" s="45">
        <v>1</v>
      </c>
      <c r="I40" s="45">
        <v>2</v>
      </c>
      <c r="J40" s="45">
        <v>3</v>
      </c>
      <c r="K40" s="45">
        <v>2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>
        <v>3</v>
      </c>
      <c r="X40" s="45">
        <v>1</v>
      </c>
      <c r="Y40" s="45">
        <v>4</v>
      </c>
      <c r="Z40" s="45">
        <v>5</v>
      </c>
      <c r="AA40" s="45">
        <v>3</v>
      </c>
      <c r="AB40" s="45"/>
      <c r="AC40" s="45"/>
      <c r="AD40" s="45"/>
      <c r="AE40" s="45"/>
    </row>
    <row r="41" spans="1:31" x14ac:dyDescent="0.2">
      <c r="A41" s="45">
        <v>15</v>
      </c>
      <c r="B41" s="45">
        <v>2</v>
      </c>
      <c r="C41" s="45">
        <v>1</v>
      </c>
      <c r="D41" s="45">
        <v>2</v>
      </c>
      <c r="E41" s="45">
        <v>2</v>
      </c>
      <c r="F41" s="45">
        <v>4</v>
      </c>
      <c r="G41" s="45">
        <v>2</v>
      </c>
      <c r="H41" s="45">
        <v>1</v>
      </c>
      <c r="I41" s="45">
        <v>2</v>
      </c>
      <c r="J41" s="45">
        <v>2</v>
      </c>
      <c r="K41" s="45">
        <v>3</v>
      </c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x14ac:dyDescent="0.2">
      <c r="A42" s="45">
        <v>16</v>
      </c>
      <c r="B42" s="45">
        <v>3</v>
      </c>
      <c r="C42" s="45">
        <v>1</v>
      </c>
      <c r="D42" s="45">
        <v>1</v>
      </c>
      <c r="E42" s="45">
        <v>1</v>
      </c>
      <c r="F42" s="45">
        <v>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x14ac:dyDescent="0.2">
      <c r="A43" s="45">
        <v>17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>
        <v>2</v>
      </c>
      <c r="R43" s="45">
        <v>2</v>
      </c>
      <c r="S43" s="45">
        <v>3</v>
      </c>
      <c r="T43" s="45">
        <v>3</v>
      </c>
      <c r="U43" s="45">
        <v>2</v>
      </c>
      <c r="V43" s="45">
        <v>2</v>
      </c>
      <c r="W43" s="45">
        <v>2</v>
      </c>
      <c r="X43" s="45">
        <v>3</v>
      </c>
      <c r="Y43" s="45">
        <v>3</v>
      </c>
      <c r="Z43" s="45">
        <v>5</v>
      </c>
      <c r="AA43" s="45">
        <v>2</v>
      </c>
      <c r="AB43" s="45">
        <v>2</v>
      </c>
      <c r="AC43" s="45">
        <v>4</v>
      </c>
      <c r="AD43" s="45">
        <v>5</v>
      </c>
      <c r="AE43" s="45">
        <v>3</v>
      </c>
    </row>
    <row r="44" spans="1:31" x14ac:dyDescent="0.2">
      <c r="A44" s="45">
        <v>18</v>
      </c>
      <c r="B44" s="45">
        <v>2</v>
      </c>
      <c r="C44" s="45">
        <v>1</v>
      </c>
      <c r="D44" s="45">
        <v>1</v>
      </c>
      <c r="E44" s="45">
        <v>4</v>
      </c>
      <c r="F44" s="45">
        <v>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x14ac:dyDescent="0.2">
      <c r="A45" s="45">
        <v>19</v>
      </c>
      <c r="B45" s="45">
        <v>2</v>
      </c>
      <c r="C45" s="45">
        <v>2</v>
      </c>
      <c r="D45" s="45">
        <v>2</v>
      </c>
      <c r="E45" s="45">
        <v>3</v>
      </c>
      <c r="F45" s="45">
        <v>4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x14ac:dyDescent="0.2">
      <c r="A46" s="45">
        <v>20</v>
      </c>
      <c r="B46" s="45">
        <v>3</v>
      </c>
      <c r="C46" s="45">
        <v>2</v>
      </c>
      <c r="D46" s="45">
        <v>2</v>
      </c>
      <c r="E46" s="45">
        <v>2</v>
      </c>
      <c r="F46" s="45">
        <v>4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x14ac:dyDescent="0.2">
      <c r="A47" s="45">
        <v>21</v>
      </c>
      <c r="B47" s="45">
        <v>3</v>
      </c>
      <c r="C47" s="45">
        <v>2</v>
      </c>
      <c r="D47" s="45">
        <v>2</v>
      </c>
      <c r="E47" s="45">
        <v>3</v>
      </c>
      <c r="F47" s="45">
        <v>4</v>
      </c>
      <c r="G47" s="45">
        <v>3</v>
      </c>
      <c r="H47" s="45">
        <v>1</v>
      </c>
      <c r="I47" s="45">
        <v>3</v>
      </c>
      <c r="J47" s="45">
        <v>3</v>
      </c>
      <c r="K47" s="45">
        <v>3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x14ac:dyDescent="0.2">
      <c r="A48" s="45">
        <v>22</v>
      </c>
      <c r="B48" s="45">
        <v>3</v>
      </c>
      <c r="C48" s="45">
        <v>3</v>
      </c>
      <c r="D48" s="45">
        <v>2</v>
      </c>
      <c r="E48" s="45">
        <v>2</v>
      </c>
      <c r="F48" s="45">
        <v>5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x14ac:dyDescent="0.2">
      <c r="A49" s="45">
        <v>23</v>
      </c>
      <c r="B49" s="45">
        <v>3</v>
      </c>
      <c r="C49" s="45">
        <v>1</v>
      </c>
      <c r="D49" s="45">
        <v>2</v>
      </c>
      <c r="E49" s="45">
        <v>2</v>
      </c>
      <c r="F49" s="45">
        <v>4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x14ac:dyDescent="0.2">
      <c r="A50" s="45">
        <v>24</v>
      </c>
      <c r="B50" s="45">
        <v>3</v>
      </c>
      <c r="C50" s="45">
        <v>1</v>
      </c>
      <c r="D50" s="45">
        <v>3</v>
      </c>
      <c r="E50" s="45">
        <v>3</v>
      </c>
      <c r="F50" s="45">
        <v>4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x14ac:dyDescent="0.2">
      <c r="A51" s="46">
        <v>301</v>
      </c>
      <c r="B51" s="46">
        <v>3</v>
      </c>
      <c r="C51" s="46">
        <v>5</v>
      </c>
      <c r="D51" s="46">
        <v>4</v>
      </c>
      <c r="E51" s="46">
        <v>3</v>
      </c>
      <c r="F51" s="46">
        <v>4</v>
      </c>
      <c r="G51" s="46">
        <v>3</v>
      </c>
      <c r="H51" s="46">
        <v>1</v>
      </c>
      <c r="I51" s="46">
        <v>4</v>
      </c>
      <c r="J51" s="46">
        <v>4</v>
      </c>
      <c r="K51" s="46">
        <v>2</v>
      </c>
      <c r="L51" s="46">
        <v>3</v>
      </c>
      <c r="M51" s="46">
        <v>1</v>
      </c>
      <c r="N51" s="46">
        <v>2</v>
      </c>
      <c r="O51" s="46">
        <v>4</v>
      </c>
      <c r="P51" s="46">
        <v>2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r="52" spans="1:31" s="36" customFormat="1" x14ac:dyDescent="0.2"/>
    <row r="53" spans="1:31" x14ac:dyDescent="0.2">
      <c r="A53" s="47">
        <v>137</v>
      </c>
      <c r="B53" s="47">
        <v>1</v>
      </c>
      <c r="C53" s="47">
        <v>1</v>
      </c>
      <c r="D53" s="47">
        <v>1</v>
      </c>
      <c r="E53" s="47">
        <v>1</v>
      </c>
      <c r="F53" s="47">
        <v>1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x14ac:dyDescent="0.2">
      <c r="A54" s="45">
        <v>134</v>
      </c>
      <c r="B54" s="45">
        <v>3</v>
      </c>
      <c r="C54" s="45">
        <v>1</v>
      </c>
      <c r="D54" s="45">
        <v>1</v>
      </c>
      <c r="E54" s="45">
        <v>1</v>
      </c>
      <c r="F54" s="45">
        <v>1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x14ac:dyDescent="0.2">
      <c r="A55" s="45">
        <v>130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x14ac:dyDescent="0.2">
      <c r="A56" s="45">
        <v>131</v>
      </c>
      <c r="B56" s="45">
        <v>2</v>
      </c>
      <c r="C56" s="45">
        <v>1</v>
      </c>
      <c r="D56" s="45">
        <v>1</v>
      </c>
      <c r="E56" s="45">
        <v>4</v>
      </c>
      <c r="F56" s="45">
        <v>5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x14ac:dyDescent="0.2">
      <c r="A57" s="45">
        <v>132</v>
      </c>
      <c r="B57" s="45">
        <v>1</v>
      </c>
      <c r="C57" s="45">
        <v>2</v>
      </c>
      <c r="D57" s="45">
        <v>1</v>
      </c>
      <c r="E57" s="45">
        <v>1</v>
      </c>
      <c r="F57" s="45">
        <v>3</v>
      </c>
      <c r="G57" s="45">
        <v>1</v>
      </c>
      <c r="H57" s="45">
        <v>1</v>
      </c>
      <c r="I57" s="45">
        <v>3</v>
      </c>
      <c r="J57" s="45">
        <v>5</v>
      </c>
      <c r="K57" s="45">
        <v>1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x14ac:dyDescent="0.2">
      <c r="A58" s="45">
        <v>133</v>
      </c>
      <c r="B58" s="45">
        <v>1</v>
      </c>
      <c r="C58" s="45">
        <v>2</v>
      </c>
      <c r="D58" s="45">
        <v>1</v>
      </c>
      <c r="E58" s="45">
        <v>1</v>
      </c>
      <c r="F58" s="45">
        <v>4</v>
      </c>
      <c r="G58" s="45">
        <v>1</v>
      </c>
      <c r="H58" s="45">
        <v>1</v>
      </c>
      <c r="I58" s="45">
        <v>4</v>
      </c>
      <c r="J58" s="45">
        <v>4</v>
      </c>
      <c r="K58" s="45">
        <v>1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x14ac:dyDescent="0.2">
      <c r="A59" s="45">
        <v>34</v>
      </c>
      <c r="B59" s="45">
        <v>2</v>
      </c>
      <c r="C59" s="45">
        <v>2</v>
      </c>
      <c r="D59" s="45">
        <v>5</v>
      </c>
      <c r="E59" s="45">
        <v>2</v>
      </c>
      <c r="F59" s="45">
        <v>3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x14ac:dyDescent="0.2">
      <c r="A60" s="45">
        <v>35</v>
      </c>
      <c r="B60" s="45">
        <v>3</v>
      </c>
      <c r="C60" s="45">
        <v>2</v>
      </c>
      <c r="D60" s="45">
        <v>2</v>
      </c>
      <c r="E60" s="45">
        <v>4</v>
      </c>
      <c r="F60" s="45">
        <v>4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x14ac:dyDescent="0.2">
      <c r="A61" s="45">
        <v>33</v>
      </c>
      <c r="B61" s="45">
        <v>3</v>
      </c>
      <c r="C61" s="45">
        <v>1</v>
      </c>
      <c r="D61" s="45">
        <v>2</v>
      </c>
      <c r="E61" s="45">
        <v>2</v>
      </c>
      <c r="F61" s="45">
        <v>4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x14ac:dyDescent="0.2">
      <c r="A62" s="45">
        <v>32</v>
      </c>
      <c r="B62" s="45">
        <v>3</v>
      </c>
      <c r="C62" s="45">
        <v>1</v>
      </c>
      <c r="D62" s="45">
        <v>2</v>
      </c>
      <c r="E62" s="45">
        <v>3</v>
      </c>
      <c r="F62" s="45">
        <v>4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x14ac:dyDescent="0.2">
      <c r="A63" s="45">
        <v>31</v>
      </c>
      <c r="B63" s="45">
        <v>3</v>
      </c>
      <c r="C63" s="45">
        <v>2</v>
      </c>
      <c r="D63" s="45">
        <v>2</v>
      </c>
      <c r="E63" s="45">
        <v>2</v>
      </c>
      <c r="F63" s="45">
        <v>5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x14ac:dyDescent="0.2">
      <c r="A64" s="45">
        <v>142</v>
      </c>
      <c r="B64" s="45">
        <v>1</v>
      </c>
      <c r="C64" s="45">
        <v>1</v>
      </c>
      <c r="D64" s="45">
        <v>1</v>
      </c>
      <c r="E64" s="45">
        <v>2</v>
      </c>
      <c r="F64" s="45">
        <v>1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x14ac:dyDescent="0.2">
      <c r="A65" s="45">
        <v>30</v>
      </c>
      <c r="B65" s="45"/>
      <c r="C65" s="45"/>
      <c r="D65" s="45"/>
      <c r="E65" s="45"/>
      <c r="F65" s="45"/>
      <c r="G65" s="45">
        <v>3</v>
      </c>
      <c r="H65" s="45">
        <v>1</v>
      </c>
      <c r="I65" s="45">
        <v>2</v>
      </c>
      <c r="J65" s="45">
        <v>2</v>
      </c>
      <c r="K65" s="45">
        <v>2</v>
      </c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x14ac:dyDescent="0.2">
      <c r="A66" s="45">
        <v>38</v>
      </c>
      <c r="B66" s="45">
        <v>3</v>
      </c>
      <c r="C66" s="45">
        <v>1</v>
      </c>
      <c r="D66" s="45">
        <v>4</v>
      </c>
      <c r="E66" s="45">
        <v>4</v>
      </c>
      <c r="F66" s="45">
        <v>5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x14ac:dyDescent="0.2">
      <c r="A67" s="45">
        <v>36</v>
      </c>
      <c r="B67" s="45"/>
      <c r="C67" s="45"/>
      <c r="D67" s="45"/>
      <c r="E67" s="45"/>
      <c r="F67" s="45"/>
      <c r="G67" s="45">
        <v>3</v>
      </c>
      <c r="H67" s="45">
        <v>1</v>
      </c>
      <c r="I67" s="45">
        <v>3</v>
      </c>
      <c r="J67" s="45">
        <v>3</v>
      </c>
      <c r="K67" s="45">
        <v>3</v>
      </c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x14ac:dyDescent="0.2">
      <c r="A68" s="46">
        <v>39</v>
      </c>
      <c r="B68" s="46">
        <v>3</v>
      </c>
      <c r="C68" s="46">
        <v>1</v>
      </c>
      <c r="D68" s="46">
        <v>3</v>
      </c>
      <c r="E68" s="46">
        <v>3</v>
      </c>
      <c r="F68" s="46">
        <v>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spans="1:31" s="36" customFormat="1" x14ac:dyDescent="0.2"/>
    <row r="70" spans="1:31" x14ac:dyDescent="0.2">
      <c r="A70" s="47">
        <v>136</v>
      </c>
      <c r="B70" s="47">
        <v>1</v>
      </c>
      <c r="C70" s="47">
        <v>1</v>
      </c>
      <c r="D70" s="47">
        <v>1</v>
      </c>
      <c r="E70" s="47">
        <v>2</v>
      </c>
      <c r="F70" s="47">
        <v>4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x14ac:dyDescent="0.2">
      <c r="A71" s="45">
        <v>139</v>
      </c>
      <c r="B71" s="45">
        <v>3</v>
      </c>
      <c r="C71" s="45">
        <v>1</v>
      </c>
      <c r="D71" s="45">
        <v>1</v>
      </c>
      <c r="E71" s="45">
        <v>2</v>
      </c>
      <c r="F71" s="45">
        <v>1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</row>
    <row r="72" spans="1:31" x14ac:dyDescent="0.2">
      <c r="A72" s="45">
        <v>141</v>
      </c>
      <c r="B72" s="45">
        <v>1</v>
      </c>
      <c r="C72" s="45">
        <v>1</v>
      </c>
      <c r="D72" s="45">
        <v>2</v>
      </c>
      <c r="E72" s="45">
        <v>1</v>
      </c>
      <c r="F72" s="45">
        <v>2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</row>
    <row r="73" spans="1:31" x14ac:dyDescent="0.2">
      <c r="A73" s="45">
        <v>140</v>
      </c>
      <c r="B73" s="45">
        <v>1</v>
      </c>
      <c r="C73" s="45">
        <v>1</v>
      </c>
      <c r="D73" s="45">
        <v>2</v>
      </c>
      <c r="E73" s="45">
        <v>1</v>
      </c>
      <c r="F73" s="45">
        <v>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</row>
    <row r="74" spans="1:31" x14ac:dyDescent="0.2">
      <c r="A74" s="45">
        <v>37</v>
      </c>
      <c r="B74" s="45">
        <v>3</v>
      </c>
      <c r="C74" s="45">
        <v>2</v>
      </c>
      <c r="D74" s="45">
        <v>2</v>
      </c>
      <c r="E74" s="45">
        <v>2</v>
      </c>
      <c r="F74" s="45">
        <v>5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x14ac:dyDescent="0.2">
      <c r="A75" s="45">
        <v>42</v>
      </c>
      <c r="B75" s="45">
        <v>3</v>
      </c>
      <c r="C75" s="45">
        <v>2</v>
      </c>
      <c r="D75" s="45">
        <v>4</v>
      </c>
      <c r="E75" s="45">
        <v>3</v>
      </c>
      <c r="F75" s="45">
        <v>4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x14ac:dyDescent="0.2">
      <c r="A76" s="45">
        <v>40</v>
      </c>
      <c r="B76" s="45">
        <v>3</v>
      </c>
      <c r="C76" s="45">
        <v>2</v>
      </c>
      <c r="D76" s="45">
        <v>2</v>
      </c>
      <c r="E76" s="45">
        <v>2</v>
      </c>
      <c r="F76" s="45">
        <v>5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x14ac:dyDescent="0.2">
      <c r="A77" s="45">
        <v>41</v>
      </c>
      <c r="B77" s="45">
        <v>3</v>
      </c>
      <c r="C77" s="45">
        <v>2</v>
      </c>
      <c r="D77" s="45">
        <v>2</v>
      </c>
      <c r="E77" s="45">
        <v>2</v>
      </c>
      <c r="F77" s="45">
        <v>5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x14ac:dyDescent="0.2">
      <c r="A78" s="45">
        <v>29</v>
      </c>
      <c r="B78" s="45">
        <v>3</v>
      </c>
      <c r="C78" s="45">
        <v>4</v>
      </c>
      <c r="D78" s="45">
        <v>3</v>
      </c>
      <c r="E78" s="45">
        <v>3</v>
      </c>
      <c r="F78" s="45">
        <v>5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x14ac:dyDescent="0.2">
      <c r="A79" s="45">
        <v>28</v>
      </c>
      <c r="B79" s="45">
        <v>3</v>
      </c>
      <c r="C79" s="45">
        <v>1</v>
      </c>
      <c r="D79" s="45">
        <v>3</v>
      </c>
      <c r="E79" s="45">
        <v>3</v>
      </c>
      <c r="F79" s="45">
        <v>4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x14ac:dyDescent="0.2">
      <c r="A80" s="45">
        <v>129</v>
      </c>
      <c r="B80" s="45">
        <v>1</v>
      </c>
      <c r="C80" s="45">
        <v>1</v>
      </c>
      <c r="D80" s="45">
        <v>1</v>
      </c>
      <c r="E80" s="45">
        <v>3</v>
      </c>
      <c r="F80" s="45">
        <v>5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x14ac:dyDescent="0.2">
      <c r="A81" s="45">
        <v>135</v>
      </c>
      <c r="B81" s="45">
        <v>1</v>
      </c>
      <c r="C81" s="45">
        <v>1</v>
      </c>
      <c r="D81" s="45">
        <v>1</v>
      </c>
      <c r="E81" s="45">
        <v>3</v>
      </c>
      <c r="F81" s="45">
        <v>4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</row>
    <row r="82" spans="1:31" x14ac:dyDescent="0.2">
      <c r="A82" s="45">
        <v>138</v>
      </c>
      <c r="B82" s="45">
        <v>1</v>
      </c>
      <c r="C82" s="45">
        <v>1</v>
      </c>
      <c r="D82" s="45">
        <v>2</v>
      </c>
      <c r="E82" s="45">
        <v>2</v>
      </c>
      <c r="F82" s="45">
        <v>3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</row>
    <row r="83" spans="1:31" x14ac:dyDescent="0.2">
      <c r="A83" s="46">
        <v>137</v>
      </c>
      <c r="B83" s="46">
        <v>1</v>
      </c>
      <c r="C83" s="46">
        <v>1</v>
      </c>
      <c r="D83" s="46">
        <v>4</v>
      </c>
      <c r="E83" s="46">
        <v>2</v>
      </c>
      <c r="F83" s="46">
        <v>3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spans="1:31" s="36" customFormat="1" x14ac:dyDescent="0.2"/>
    <row r="85" spans="1:31" x14ac:dyDescent="0.2">
      <c r="A85" s="49">
        <v>252</v>
      </c>
      <c r="B85" s="47"/>
      <c r="C85" s="47"/>
      <c r="D85" s="47"/>
      <c r="E85" s="47"/>
      <c r="F85" s="47"/>
      <c r="G85" s="47">
        <v>2</v>
      </c>
      <c r="H85" s="47">
        <v>1</v>
      </c>
      <c r="I85" s="47">
        <v>3</v>
      </c>
      <c r="J85" s="47">
        <v>3</v>
      </c>
      <c r="K85" s="47">
        <v>2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>
        <v>2</v>
      </c>
      <c r="AB85" s="47">
        <v>1</v>
      </c>
      <c r="AC85" s="47">
        <v>3</v>
      </c>
      <c r="AD85" s="47">
        <v>3</v>
      </c>
      <c r="AE85" s="47">
        <v>2</v>
      </c>
    </row>
    <row r="86" spans="1:31" x14ac:dyDescent="0.2">
      <c r="A86" s="44">
        <v>253</v>
      </c>
      <c r="B86" s="45">
        <v>2</v>
      </c>
      <c r="C86" s="45">
        <v>2</v>
      </c>
      <c r="D86" s="45">
        <v>4</v>
      </c>
      <c r="E86" s="45">
        <v>4</v>
      </c>
      <c r="F86" s="45">
        <v>4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x14ac:dyDescent="0.2">
      <c r="A87" s="44">
        <v>254</v>
      </c>
      <c r="B87" s="45">
        <v>2</v>
      </c>
      <c r="C87" s="45">
        <v>1</v>
      </c>
      <c r="D87" s="45">
        <v>4</v>
      </c>
      <c r="E87" s="45">
        <v>3</v>
      </c>
      <c r="F87" s="45">
        <v>3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 x14ac:dyDescent="0.2">
      <c r="A88" s="44">
        <v>255</v>
      </c>
      <c r="B88" s="45">
        <v>2</v>
      </c>
      <c r="C88" s="45">
        <v>1</v>
      </c>
      <c r="D88" s="45">
        <v>1</v>
      </c>
      <c r="E88" s="45">
        <v>3</v>
      </c>
      <c r="F88" s="45">
        <v>5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 x14ac:dyDescent="0.2">
      <c r="A89" s="44">
        <v>256</v>
      </c>
      <c r="B89" s="45">
        <v>2</v>
      </c>
      <c r="C89" s="45">
        <v>1</v>
      </c>
      <c r="D89" s="45">
        <v>3</v>
      </c>
      <c r="E89" s="45">
        <v>3</v>
      </c>
      <c r="F89" s="45">
        <v>5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 x14ac:dyDescent="0.2">
      <c r="A90" s="44">
        <v>101</v>
      </c>
      <c r="B90" s="45">
        <v>3</v>
      </c>
      <c r="C90" s="45">
        <v>2</v>
      </c>
      <c r="D90" s="45">
        <v>2</v>
      </c>
      <c r="E90" s="45">
        <v>1</v>
      </c>
      <c r="F90" s="45">
        <v>2</v>
      </c>
      <c r="G90" s="45">
        <v>3</v>
      </c>
      <c r="H90" s="45">
        <v>1</v>
      </c>
      <c r="I90" s="45">
        <v>4</v>
      </c>
      <c r="J90" s="45">
        <v>4</v>
      </c>
      <c r="K90" s="45">
        <v>1</v>
      </c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  <row r="91" spans="1:31" x14ac:dyDescent="0.2">
      <c r="A91" s="44">
        <v>106</v>
      </c>
      <c r="B91" s="45">
        <v>3</v>
      </c>
      <c r="C91" s="45">
        <v>2</v>
      </c>
      <c r="D91" s="45">
        <v>4</v>
      </c>
      <c r="E91" s="45">
        <v>1</v>
      </c>
      <c r="F91" s="45">
        <v>3</v>
      </c>
      <c r="G91" s="45">
        <v>3</v>
      </c>
      <c r="H91" s="45">
        <v>1</v>
      </c>
      <c r="I91" s="45">
        <v>3</v>
      </c>
      <c r="J91" s="45">
        <v>4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</row>
    <row r="92" spans="1:31" x14ac:dyDescent="0.2">
      <c r="A92" s="44">
        <v>107</v>
      </c>
      <c r="B92" s="45">
        <v>3</v>
      </c>
      <c r="C92" s="45">
        <v>2</v>
      </c>
      <c r="D92" s="45">
        <v>1</v>
      </c>
      <c r="E92" s="45">
        <v>2</v>
      </c>
      <c r="F92" s="45">
        <v>3</v>
      </c>
      <c r="G92" s="45">
        <v>3</v>
      </c>
      <c r="H92" s="45">
        <v>1</v>
      </c>
      <c r="I92" s="45">
        <v>4</v>
      </c>
      <c r="J92" s="45">
        <v>4</v>
      </c>
      <c r="K92" s="45">
        <v>1</v>
      </c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</row>
    <row r="93" spans="1:31" x14ac:dyDescent="0.2">
      <c r="A93" s="44">
        <v>108</v>
      </c>
      <c r="B93" s="45">
        <v>3</v>
      </c>
      <c r="C93" s="45">
        <v>1</v>
      </c>
      <c r="D93" s="45">
        <v>1</v>
      </c>
      <c r="E93" s="45">
        <v>3</v>
      </c>
      <c r="F93" s="45">
        <v>4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</row>
    <row r="94" spans="1:31" x14ac:dyDescent="0.2">
      <c r="A94" s="44">
        <v>109</v>
      </c>
      <c r="B94" s="45">
        <v>3</v>
      </c>
      <c r="C94" s="45">
        <v>2</v>
      </c>
      <c r="D94" s="45">
        <v>4</v>
      </c>
      <c r="E94" s="45">
        <v>1</v>
      </c>
      <c r="F94" s="45">
        <v>3</v>
      </c>
      <c r="G94" s="45">
        <v>3</v>
      </c>
      <c r="H94" s="45">
        <v>1</v>
      </c>
      <c r="I94" s="45">
        <v>1</v>
      </c>
      <c r="J94" s="45">
        <v>4</v>
      </c>
      <c r="K94" s="45">
        <v>1</v>
      </c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</row>
    <row r="95" spans="1:31" x14ac:dyDescent="0.2">
      <c r="A95" s="44">
        <v>1</v>
      </c>
      <c r="B95" s="45">
        <v>3</v>
      </c>
      <c r="C95" s="45">
        <v>2</v>
      </c>
      <c r="D95" s="45">
        <v>1</v>
      </c>
      <c r="E95" s="45">
        <v>3</v>
      </c>
      <c r="F95" s="45">
        <v>4</v>
      </c>
      <c r="G95" s="45">
        <v>3</v>
      </c>
      <c r="H95" s="45">
        <v>1</v>
      </c>
      <c r="I95" s="45">
        <v>2</v>
      </c>
      <c r="J95" s="45">
        <v>3</v>
      </c>
      <c r="K95" s="45">
        <v>4</v>
      </c>
      <c r="L95" s="45"/>
      <c r="M95" s="45"/>
      <c r="N95" s="45"/>
      <c r="O95" s="45"/>
      <c r="P95" s="45"/>
      <c r="Q95" s="45">
        <v>3</v>
      </c>
      <c r="R95" s="45">
        <v>2</v>
      </c>
      <c r="S95" s="45">
        <v>1</v>
      </c>
      <c r="T95" s="45">
        <v>3</v>
      </c>
      <c r="U95" s="45">
        <v>4</v>
      </c>
      <c r="V95" s="45"/>
      <c r="W95" s="45"/>
      <c r="X95" s="45"/>
      <c r="Y95" s="45"/>
      <c r="Z95" s="45"/>
      <c r="AA95" s="45"/>
      <c r="AB95" s="45"/>
      <c r="AC95" s="45"/>
      <c r="AD95" s="45"/>
      <c r="AE95" s="45"/>
    </row>
    <row r="96" spans="1:31" x14ac:dyDescent="0.2">
      <c r="A96" s="44">
        <v>2</v>
      </c>
      <c r="B96" s="45">
        <v>2</v>
      </c>
      <c r="C96" s="45">
        <v>1</v>
      </c>
      <c r="D96" s="45">
        <v>3</v>
      </c>
      <c r="E96" s="45">
        <v>2</v>
      </c>
      <c r="F96" s="45">
        <v>5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</row>
    <row r="97" spans="1:31" x14ac:dyDescent="0.2">
      <c r="A97" s="44">
        <v>3</v>
      </c>
      <c r="B97" s="45">
        <v>3</v>
      </c>
      <c r="C97" s="45">
        <v>1</v>
      </c>
      <c r="D97" s="45">
        <v>1</v>
      </c>
      <c r="E97" s="45">
        <v>1</v>
      </c>
      <c r="F97" s="45">
        <v>5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</row>
    <row r="98" spans="1:31" x14ac:dyDescent="0.2">
      <c r="A98" s="44">
        <v>4</v>
      </c>
      <c r="B98" s="45">
        <v>3</v>
      </c>
      <c r="C98" s="45">
        <v>1</v>
      </c>
      <c r="D98" s="45">
        <v>5</v>
      </c>
      <c r="E98" s="45">
        <v>3</v>
      </c>
      <c r="F98" s="45">
        <v>5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</row>
    <row r="99" spans="1:31" x14ac:dyDescent="0.2">
      <c r="A99" s="44">
        <v>5</v>
      </c>
      <c r="B99" s="45">
        <v>2</v>
      </c>
      <c r="C99" s="45">
        <v>1</v>
      </c>
      <c r="D99" s="45">
        <v>4</v>
      </c>
      <c r="E99" s="45">
        <v>5</v>
      </c>
      <c r="F99" s="45">
        <v>5</v>
      </c>
      <c r="G99" s="45"/>
      <c r="H99" s="45"/>
      <c r="I99" s="45"/>
      <c r="J99" s="45"/>
      <c r="K99" s="45"/>
      <c r="L99" s="45">
        <v>2</v>
      </c>
      <c r="M99" s="45">
        <v>1</v>
      </c>
      <c r="N99" s="45">
        <v>4</v>
      </c>
      <c r="O99" s="45">
        <v>2</v>
      </c>
      <c r="P99" s="45">
        <v>3</v>
      </c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</row>
    <row r="100" spans="1:31" x14ac:dyDescent="0.2">
      <c r="A100" s="44">
        <v>8</v>
      </c>
      <c r="B100" s="45">
        <v>3</v>
      </c>
      <c r="C100" s="45">
        <v>4</v>
      </c>
      <c r="D100" s="45">
        <v>3</v>
      </c>
      <c r="E100" s="45">
        <v>5</v>
      </c>
      <c r="F100" s="45">
        <v>4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</row>
    <row r="101" spans="1:31" x14ac:dyDescent="0.2">
      <c r="A101" s="44">
        <v>9</v>
      </c>
      <c r="B101" s="45">
        <v>2</v>
      </c>
      <c r="C101" s="45">
        <v>1</v>
      </c>
      <c r="D101" s="45">
        <v>2</v>
      </c>
      <c r="E101" s="45">
        <v>2</v>
      </c>
      <c r="F101" s="45">
        <v>3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</row>
    <row r="102" spans="1:31" x14ac:dyDescent="0.2">
      <c r="A102" s="44">
        <v>201</v>
      </c>
      <c r="B102" s="45">
        <v>2</v>
      </c>
      <c r="C102" s="45">
        <v>2</v>
      </c>
      <c r="D102" s="45">
        <v>1</v>
      </c>
      <c r="E102" s="45">
        <v>3</v>
      </c>
      <c r="F102" s="45">
        <v>4</v>
      </c>
      <c r="G102" s="45">
        <v>2</v>
      </c>
      <c r="H102" s="45">
        <v>1</v>
      </c>
      <c r="I102" s="45">
        <v>4</v>
      </c>
      <c r="J102" s="45">
        <v>1</v>
      </c>
      <c r="K102" s="45">
        <v>3</v>
      </c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</row>
    <row r="103" spans="1:31" x14ac:dyDescent="0.2">
      <c r="A103" s="44">
        <v>204</v>
      </c>
      <c r="B103" s="45">
        <v>2</v>
      </c>
      <c r="C103" s="45">
        <v>1</v>
      </c>
      <c r="D103" s="45">
        <v>5</v>
      </c>
      <c r="E103" s="45">
        <v>1</v>
      </c>
      <c r="F103" s="45">
        <v>4</v>
      </c>
      <c r="G103" s="45"/>
      <c r="H103" s="45"/>
      <c r="I103" s="45"/>
      <c r="J103" s="45"/>
      <c r="K103" s="45"/>
      <c r="L103" s="45">
        <v>2</v>
      </c>
      <c r="M103" s="45">
        <v>1</v>
      </c>
      <c r="N103" s="45">
        <v>2</v>
      </c>
      <c r="O103" s="45">
        <v>5</v>
      </c>
      <c r="P103" s="45">
        <v>2</v>
      </c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  <row r="104" spans="1:31" x14ac:dyDescent="0.2">
      <c r="A104" s="44">
        <v>205</v>
      </c>
      <c r="B104" s="45">
        <v>2</v>
      </c>
      <c r="C104" s="45">
        <v>1</v>
      </c>
      <c r="D104" s="45">
        <v>4</v>
      </c>
      <c r="E104" s="45">
        <v>5</v>
      </c>
      <c r="F104" s="45">
        <v>4</v>
      </c>
      <c r="G104" s="45">
        <v>2</v>
      </c>
      <c r="H104" s="45">
        <v>1</v>
      </c>
      <c r="I104" s="45">
        <v>3</v>
      </c>
      <c r="J104" s="45">
        <v>2</v>
      </c>
      <c r="K104" s="45">
        <v>1</v>
      </c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</row>
    <row r="105" spans="1:31" x14ac:dyDescent="0.2">
      <c r="A105" s="44">
        <v>320</v>
      </c>
      <c r="B105" s="45">
        <v>3</v>
      </c>
      <c r="C105" s="45">
        <v>1</v>
      </c>
      <c r="D105" s="45">
        <v>2</v>
      </c>
      <c r="E105" s="45">
        <v>2</v>
      </c>
      <c r="F105" s="45">
        <v>2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</row>
    <row r="106" spans="1:31" x14ac:dyDescent="0.2">
      <c r="A106" s="44">
        <v>226</v>
      </c>
      <c r="B106" s="45">
        <v>3</v>
      </c>
      <c r="C106" s="45">
        <v>2</v>
      </c>
      <c r="D106" s="45">
        <v>2</v>
      </c>
      <c r="E106" s="45">
        <v>3</v>
      </c>
      <c r="F106" s="45">
        <v>2</v>
      </c>
      <c r="G106" s="45">
        <v>3</v>
      </c>
      <c r="H106" s="45">
        <v>1</v>
      </c>
      <c r="I106" s="45">
        <v>3</v>
      </c>
      <c r="J106" s="45">
        <v>3</v>
      </c>
      <c r="K106" s="45">
        <v>4</v>
      </c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</row>
    <row r="107" spans="1:31" x14ac:dyDescent="0.2">
      <c r="A107" s="44">
        <v>314</v>
      </c>
      <c r="B107" s="45">
        <v>3</v>
      </c>
      <c r="C107" s="45">
        <v>2</v>
      </c>
      <c r="D107" s="45">
        <v>2</v>
      </c>
      <c r="E107" s="45">
        <v>2</v>
      </c>
      <c r="F107" s="45">
        <v>2</v>
      </c>
      <c r="G107" s="45">
        <v>3</v>
      </c>
      <c r="H107" s="45">
        <v>1</v>
      </c>
      <c r="I107" s="45">
        <v>4</v>
      </c>
      <c r="J107" s="45">
        <v>3</v>
      </c>
      <c r="K107" s="45">
        <v>2</v>
      </c>
      <c r="L107" s="45"/>
      <c r="M107" s="45"/>
      <c r="N107" s="45"/>
      <c r="O107" s="45"/>
      <c r="P107" s="45"/>
      <c r="Q107" s="45">
        <v>2</v>
      </c>
      <c r="R107" s="45">
        <v>1</v>
      </c>
      <c r="S107" s="45">
        <v>4</v>
      </c>
      <c r="T107" s="45">
        <v>3</v>
      </c>
      <c r="U107" s="45">
        <v>4</v>
      </c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</row>
    <row r="108" spans="1:31" x14ac:dyDescent="0.2">
      <c r="A108" s="44">
        <v>321</v>
      </c>
      <c r="B108" s="45">
        <v>3</v>
      </c>
      <c r="C108" s="45">
        <v>2</v>
      </c>
      <c r="D108" s="45">
        <v>2</v>
      </c>
      <c r="E108" s="45">
        <v>2</v>
      </c>
      <c r="F108" s="45">
        <v>2</v>
      </c>
      <c r="G108" s="45">
        <v>3</v>
      </c>
      <c r="H108" s="45">
        <v>1</v>
      </c>
      <c r="I108" s="45">
        <v>3</v>
      </c>
      <c r="J108" s="45">
        <v>3</v>
      </c>
      <c r="K108" s="45">
        <v>3</v>
      </c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</row>
    <row r="109" spans="1:31" x14ac:dyDescent="0.2">
      <c r="A109" s="44">
        <v>315</v>
      </c>
      <c r="B109" s="45">
        <v>3</v>
      </c>
      <c r="C109" s="45">
        <v>2</v>
      </c>
      <c r="D109" s="45">
        <v>2</v>
      </c>
      <c r="E109" s="45">
        <v>3</v>
      </c>
      <c r="F109" s="45">
        <v>2</v>
      </c>
      <c r="G109" s="45">
        <v>3</v>
      </c>
      <c r="H109" s="45">
        <v>1</v>
      </c>
      <c r="I109" s="45">
        <v>3</v>
      </c>
      <c r="J109" s="45">
        <v>4</v>
      </c>
      <c r="K109" s="45">
        <v>3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2</v>
      </c>
      <c r="R109" s="45">
        <v>1</v>
      </c>
      <c r="S109" s="45">
        <v>4</v>
      </c>
      <c r="T109" s="45">
        <v>4</v>
      </c>
      <c r="U109" s="45">
        <v>4</v>
      </c>
      <c r="V109" s="45">
        <v>3</v>
      </c>
      <c r="W109" s="45">
        <v>1</v>
      </c>
      <c r="X109" s="45">
        <v>4</v>
      </c>
      <c r="Y109" s="45">
        <v>4</v>
      </c>
      <c r="Z109" s="45">
        <v>4</v>
      </c>
      <c r="AA109" s="45"/>
      <c r="AB109" s="45"/>
      <c r="AC109" s="45"/>
      <c r="AD109" s="45"/>
      <c r="AE109" s="45"/>
    </row>
    <row r="110" spans="1:31" x14ac:dyDescent="0.2">
      <c r="A110" s="44">
        <v>227</v>
      </c>
      <c r="B110" s="45">
        <v>3</v>
      </c>
      <c r="C110" s="45">
        <v>5</v>
      </c>
      <c r="D110" s="45">
        <v>3</v>
      </c>
      <c r="E110" s="45">
        <v>3</v>
      </c>
      <c r="F110" s="45">
        <v>2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</row>
    <row r="111" spans="1:31" x14ac:dyDescent="0.2">
      <c r="A111" s="44">
        <v>228</v>
      </c>
      <c r="B111" s="45">
        <v>2</v>
      </c>
      <c r="C111" s="45">
        <v>2</v>
      </c>
      <c r="D111" s="45">
        <v>1</v>
      </c>
      <c r="E111" s="45">
        <v>2</v>
      </c>
      <c r="F111" s="45">
        <v>3</v>
      </c>
      <c r="G111" s="45">
        <v>3</v>
      </c>
      <c r="H111" s="45">
        <v>4</v>
      </c>
      <c r="I111" s="45">
        <v>4</v>
      </c>
      <c r="J111" s="45">
        <v>4</v>
      </c>
      <c r="K111" s="45">
        <v>2</v>
      </c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</row>
    <row r="112" spans="1:31" x14ac:dyDescent="0.2">
      <c r="A112" s="44">
        <v>251</v>
      </c>
      <c r="B112" s="45">
        <v>1</v>
      </c>
      <c r="C112" s="45">
        <v>2</v>
      </c>
      <c r="D112" s="45">
        <v>4</v>
      </c>
      <c r="E112" s="45">
        <v>2</v>
      </c>
      <c r="F112" s="45">
        <v>5</v>
      </c>
      <c r="G112" s="45">
        <v>2</v>
      </c>
      <c r="H112" s="45">
        <v>1</v>
      </c>
      <c r="I112" s="45">
        <v>4</v>
      </c>
      <c r="J112" s="45">
        <v>4</v>
      </c>
      <c r="K112" s="45">
        <v>1</v>
      </c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</row>
    <row r="113" spans="1:31" x14ac:dyDescent="0.2">
      <c r="A113" s="44">
        <v>102</v>
      </c>
      <c r="B113" s="45">
        <v>3</v>
      </c>
      <c r="C113" s="45">
        <v>1</v>
      </c>
      <c r="D113" s="45">
        <v>4</v>
      </c>
      <c r="E113" s="45">
        <v>1</v>
      </c>
      <c r="F113" s="45">
        <v>5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</row>
    <row r="114" spans="1:31" x14ac:dyDescent="0.2">
      <c r="A114" s="44">
        <v>104</v>
      </c>
      <c r="B114" s="45">
        <v>2</v>
      </c>
      <c r="C114" s="45">
        <v>1</v>
      </c>
      <c r="D114" s="45">
        <v>1</v>
      </c>
      <c r="E114" s="45">
        <v>3</v>
      </c>
      <c r="F114" s="45">
        <v>1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</row>
    <row r="115" spans="1:31" x14ac:dyDescent="0.2">
      <c r="A115" s="44">
        <v>105</v>
      </c>
      <c r="B115" s="45">
        <v>3</v>
      </c>
      <c r="C115" s="45">
        <v>1</v>
      </c>
      <c r="D115" s="45">
        <v>1</v>
      </c>
      <c r="E115" s="45">
        <v>1</v>
      </c>
      <c r="F115" s="45">
        <v>1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</row>
    <row r="116" spans="1:31" x14ac:dyDescent="0.2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>
        <v>3</v>
      </c>
      <c r="R116" s="45">
        <v>1</v>
      </c>
      <c r="S116" s="45">
        <v>3</v>
      </c>
      <c r="T116" s="45">
        <v>4</v>
      </c>
      <c r="U116" s="45">
        <v>4</v>
      </c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</row>
    <row r="117" spans="1:31" x14ac:dyDescent="0.2">
      <c r="A117" s="44">
        <v>202</v>
      </c>
      <c r="B117" s="45">
        <v>2</v>
      </c>
      <c r="C117" s="45">
        <v>5</v>
      </c>
      <c r="D117" s="45">
        <v>3</v>
      </c>
      <c r="E117" s="45">
        <v>2</v>
      </c>
      <c r="F117" s="45">
        <v>2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</row>
    <row r="118" spans="1:31" x14ac:dyDescent="0.2">
      <c r="A118" s="48">
        <v>203</v>
      </c>
      <c r="B118" s="46">
        <v>2</v>
      </c>
      <c r="C118" s="46">
        <v>1</v>
      </c>
      <c r="D118" s="46">
        <v>3</v>
      </c>
      <c r="E118" s="46">
        <v>1</v>
      </c>
      <c r="F118" s="46">
        <v>2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>
        <v>3</v>
      </c>
      <c r="W118" s="46">
        <v>1</v>
      </c>
      <c r="X118" s="46">
        <v>3</v>
      </c>
      <c r="Y118" s="46">
        <v>5</v>
      </c>
      <c r="Z118" s="46">
        <v>5</v>
      </c>
      <c r="AA118" s="46"/>
      <c r="AB118" s="46"/>
      <c r="AC118" s="46"/>
      <c r="AD118" s="46"/>
      <c r="AE118" s="46"/>
    </row>
    <row r="119" spans="1:31" s="36" customFormat="1" x14ac:dyDescent="0.2"/>
    <row r="120" spans="1:31" x14ac:dyDescent="0.2">
      <c r="A120" s="49">
        <v>7</v>
      </c>
      <c r="B120" s="47">
        <v>2</v>
      </c>
      <c r="C120" s="47">
        <v>2</v>
      </c>
      <c r="D120" s="47">
        <v>2</v>
      </c>
      <c r="E120" s="47">
        <v>2</v>
      </c>
      <c r="F120" s="47">
        <v>2</v>
      </c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x14ac:dyDescent="0.2">
      <c r="A121" s="45">
        <v>144</v>
      </c>
      <c r="B121" s="45">
        <v>1</v>
      </c>
      <c r="C121" s="45">
        <v>1</v>
      </c>
      <c r="D121" s="45">
        <v>1</v>
      </c>
      <c r="E121" s="45">
        <v>2</v>
      </c>
      <c r="F121" s="45">
        <v>4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</row>
    <row r="122" spans="1:31" x14ac:dyDescent="0.2">
      <c r="A122" s="45">
        <v>261</v>
      </c>
      <c r="B122" s="45">
        <v>2</v>
      </c>
      <c r="C122" s="45">
        <v>1</v>
      </c>
      <c r="D122" s="45">
        <v>4</v>
      </c>
      <c r="E122" s="45">
        <v>3</v>
      </c>
      <c r="F122" s="45">
        <v>3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>
        <v>2</v>
      </c>
      <c r="AB122" s="45">
        <v>1</v>
      </c>
      <c r="AC122" s="45">
        <v>2</v>
      </c>
      <c r="AD122" s="45">
        <v>3</v>
      </c>
      <c r="AE122" s="45">
        <v>3</v>
      </c>
    </row>
    <row r="123" spans="1:31" x14ac:dyDescent="0.2">
      <c r="A123" s="45">
        <v>208</v>
      </c>
      <c r="B123" s="45">
        <v>3</v>
      </c>
      <c r="C123" s="45">
        <v>1</v>
      </c>
      <c r="D123" s="45">
        <v>3</v>
      </c>
      <c r="E123" s="45">
        <v>4</v>
      </c>
      <c r="F123" s="45">
        <v>4</v>
      </c>
      <c r="G123" s="45"/>
      <c r="H123" s="45"/>
      <c r="I123" s="45"/>
      <c r="J123" s="45"/>
      <c r="K123" s="45"/>
      <c r="L123" s="45">
        <v>3</v>
      </c>
      <c r="M123" s="45">
        <v>5</v>
      </c>
      <c r="N123" s="45">
        <v>4</v>
      </c>
      <c r="O123" s="45">
        <v>4</v>
      </c>
      <c r="P123" s="45">
        <v>4</v>
      </c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</row>
    <row r="124" spans="1:31" x14ac:dyDescent="0.2">
      <c r="A124" s="45">
        <v>44</v>
      </c>
      <c r="B124" s="45"/>
      <c r="C124" s="45"/>
      <c r="D124" s="45"/>
      <c r="E124" s="45"/>
      <c r="F124" s="45"/>
      <c r="G124" s="45">
        <v>3</v>
      </c>
      <c r="H124" s="45">
        <v>1</v>
      </c>
      <c r="I124" s="45">
        <v>2</v>
      </c>
      <c r="J124" s="45">
        <v>2</v>
      </c>
      <c r="K124" s="45">
        <v>2</v>
      </c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</row>
    <row r="125" spans="1:31" x14ac:dyDescent="0.2">
      <c r="A125" s="45">
        <v>209</v>
      </c>
      <c r="B125" s="45">
        <v>1</v>
      </c>
      <c r="C125" s="45">
        <v>5</v>
      </c>
      <c r="D125" s="45">
        <v>5</v>
      </c>
      <c r="E125" s="45">
        <v>5</v>
      </c>
      <c r="F125" s="45">
        <v>4</v>
      </c>
      <c r="G125" s="45">
        <v>3</v>
      </c>
      <c r="H125" s="45">
        <v>1</v>
      </c>
      <c r="I125" s="45">
        <v>3</v>
      </c>
      <c r="J125" s="45">
        <v>5</v>
      </c>
      <c r="K125" s="45">
        <v>4</v>
      </c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</row>
    <row r="126" spans="1:31" x14ac:dyDescent="0.2">
      <c r="A126" s="45">
        <v>45</v>
      </c>
      <c r="B126" s="45">
        <v>2</v>
      </c>
      <c r="C126" s="45">
        <v>2</v>
      </c>
      <c r="D126" s="45">
        <v>4</v>
      </c>
      <c r="E126" s="45">
        <v>5</v>
      </c>
      <c r="F126" s="45">
        <v>5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</row>
    <row r="127" spans="1:31" x14ac:dyDescent="0.2">
      <c r="A127" s="45">
        <v>210</v>
      </c>
      <c r="B127" s="45">
        <v>2</v>
      </c>
      <c r="C127" s="45">
        <v>2</v>
      </c>
      <c r="D127" s="45">
        <v>1</v>
      </c>
      <c r="E127" s="45">
        <v>1</v>
      </c>
      <c r="F127" s="45">
        <v>4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</row>
    <row r="128" spans="1:31" x14ac:dyDescent="0.2">
      <c r="A128" s="45">
        <v>211</v>
      </c>
      <c r="B128" s="45">
        <v>3</v>
      </c>
      <c r="C128" s="45">
        <v>2</v>
      </c>
      <c r="D128" s="45">
        <v>4</v>
      </c>
      <c r="E128" s="45">
        <v>5</v>
      </c>
      <c r="F128" s="45">
        <v>4</v>
      </c>
      <c r="G128" s="45">
        <v>3</v>
      </c>
      <c r="H128" s="45">
        <v>1</v>
      </c>
      <c r="I128" s="45">
        <v>2</v>
      </c>
      <c r="J128" s="45">
        <v>5</v>
      </c>
      <c r="K128" s="45">
        <v>1</v>
      </c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</row>
    <row r="129" spans="1:31" x14ac:dyDescent="0.2">
      <c r="A129" s="45">
        <v>212</v>
      </c>
      <c r="B129" s="45">
        <v>2</v>
      </c>
      <c r="C129" s="45">
        <v>1</v>
      </c>
      <c r="D129" s="45">
        <v>4</v>
      </c>
      <c r="E129" s="45">
        <v>3</v>
      </c>
      <c r="F129" s="45">
        <v>5</v>
      </c>
      <c r="G129" s="45">
        <v>2</v>
      </c>
      <c r="H129" s="45">
        <v>1</v>
      </c>
      <c r="I129" s="45">
        <v>5</v>
      </c>
      <c r="J129" s="45">
        <v>3</v>
      </c>
      <c r="K129" s="45">
        <v>4</v>
      </c>
      <c r="L129" s="45">
        <v>2</v>
      </c>
      <c r="M129" s="45">
        <v>1</v>
      </c>
      <c r="N129" s="45">
        <v>1</v>
      </c>
      <c r="O129" s="45">
        <v>3</v>
      </c>
      <c r="P129" s="45">
        <v>3</v>
      </c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</row>
    <row r="130" spans="1:31" x14ac:dyDescent="0.2">
      <c r="A130" s="45">
        <v>145</v>
      </c>
      <c r="B130" s="45">
        <v>1</v>
      </c>
      <c r="C130" s="45">
        <v>1</v>
      </c>
      <c r="D130" s="45">
        <v>2</v>
      </c>
      <c r="E130" s="45">
        <v>2</v>
      </c>
      <c r="F130" s="45">
        <v>3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</row>
    <row r="131" spans="1:31" x14ac:dyDescent="0.2">
      <c r="A131" s="45">
        <v>46</v>
      </c>
      <c r="B131" s="45">
        <v>3</v>
      </c>
      <c r="C131" s="45">
        <v>2</v>
      </c>
      <c r="D131" s="45">
        <v>2</v>
      </c>
      <c r="E131" s="45">
        <v>2</v>
      </c>
      <c r="F131" s="45">
        <v>4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</row>
    <row r="132" spans="1:31" x14ac:dyDescent="0.2">
      <c r="A132" s="45">
        <v>47</v>
      </c>
      <c r="B132" s="45">
        <v>3</v>
      </c>
      <c r="C132" s="45">
        <v>1</v>
      </c>
      <c r="D132" s="45">
        <v>3</v>
      </c>
      <c r="E132" s="45">
        <v>4</v>
      </c>
      <c r="F132" s="45">
        <v>4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</row>
    <row r="133" spans="1:31" x14ac:dyDescent="0.2">
      <c r="A133" s="45">
        <v>213</v>
      </c>
      <c r="B133" s="45">
        <v>2</v>
      </c>
      <c r="C133" s="45">
        <v>5</v>
      </c>
      <c r="D133" s="45">
        <v>4</v>
      </c>
      <c r="E133" s="45">
        <v>2</v>
      </c>
      <c r="F133" s="45">
        <v>2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>
        <v>2</v>
      </c>
      <c r="W133" s="45">
        <v>1</v>
      </c>
      <c r="X133" s="45">
        <v>5</v>
      </c>
      <c r="Y133" s="45">
        <v>5</v>
      </c>
      <c r="Z133" s="45">
        <v>4</v>
      </c>
      <c r="AA133" s="45"/>
      <c r="AB133" s="45"/>
      <c r="AC133" s="45"/>
      <c r="AD133" s="45"/>
      <c r="AE133" s="45"/>
    </row>
    <row r="134" spans="1:31" x14ac:dyDescent="0.2">
      <c r="A134" s="45">
        <v>262</v>
      </c>
      <c r="B134" s="45">
        <v>2</v>
      </c>
      <c r="C134" s="45">
        <v>1</v>
      </c>
      <c r="D134" s="45">
        <v>1</v>
      </c>
      <c r="E134" s="45">
        <v>3</v>
      </c>
      <c r="F134" s="45">
        <v>3</v>
      </c>
      <c r="G134" s="45">
        <v>2</v>
      </c>
      <c r="H134" s="45">
        <v>1</v>
      </c>
      <c r="I134" s="45">
        <v>1</v>
      </c>
      <c r="J134" s="45">
        <v>3</v>
      </c>
      <c r="K134" s="45">
        <v>3</v>
      </c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</row>
    <row r="135" spans="1:31" x14ac:dyDescent="0.2">
      <c r="A135" s="45">
        <v>143</v>
      </c>
      <c r="B135" s="45">
        <v>2</v>
      </c>
      <c r="C135" s="45">
        <v>1</v>
      </c>
      <c r="D135" s="45">
        <v>3</v>
      </c>
      <c r="E135" s="45">
        <v>1</v>
      </c>
      <c r="F135" s="45">
        <v>1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</row>
    <row r="136" spans="1:31" x14ac:dyDescent="0.2">
      <c r="A136" s="45">
        <v>263</v>
      </c>
      <c r="B136" s="45">
        <v>2</v>
      </c>
      <c r="C136" s="45">
        <v>1</v>
      </c>
      <c r="D136" s="45">
        <v>3</v>
      </c>
      <c r="E136" s="45">
        <v>3</v>
      </c>
      <c r="F136" s="45">
        <v>3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</row>
    <row r="137" spans="1:31" x14ac:dyDescent="0.2">
      <c r="A137" s="45">
        <v>264</v>
      </c>
      <c r="B137" s="45">
        <v>2</v>
      </c>
      <c r="C137" s="45">
        <v>1</v>
      </c>
      <c r="D137" s="45">
        <v>3</v>
      </c>
      <c r="E137" s="45">
        <v>3</v>
      </c>
      <c r="F137" s="45">
        <v>3</v>
      </c>
      <c r="G137" s="45">
        <v>2</v>
      </c>
      <c r="H137" s="45">
        <v>1</v>
      </c>
      <c r="I137" s="45">
        <v>3</v>
      </c>
      <c r="J137" s="45">
        <v>3</v>
      </c>
      <c r="K137" s="45">
        <v>3</v>
      </c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</row>
    <row r="138" spans="1:31" x14ac:dyDescent="0.2">
      <c r="A138" s="45">
        <v>265</v>
      </c>
      <c r="B138" s="45">
        <v>2</v>
      </c>
      <c r="C138" s="45">
        <v>1</v>
      </c>
      <c r="D138" s="45">
        <v>1</v>
      </c>
      <c r="E138" s="45">
        <v>3</v>
      </c>
      <c r="F138" s="45">
        <v>3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</row>
    <row r="139" spans="1:31" x14ac:dyDescent="0.2">
      <c r="A139" s="45">
        <v>266</v>
      </c>
      <c r="B139" s="45">
        <v>2</v>
      </c>
      <c r="C139" s="45">
        <v>1</v>
      </c>
      <c r="D139" s="45">
        <v>3</v>
      </c>
      <c r="E139" s="45">
        <v>3</v>
      </c>
      <c r="F139" s="45">
        <v>3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</row>
    <row r="140" spans="1:31" x14ac:dyDescent="0.2">
      <c r="A140" s="45">
        <v>267</v>
      </c>
      <c r="B140" s="45">
        <v>2</v>
      </c>
      <c r="C140" s="45">
        <v>1</v>
      </c>
      <c r="D140" s="45">
        <v>2</v>
      </c>
      <c r="E140" s="45">
        <v>3</v>
      </c>
      <c r="F140" s="45">
        <v>5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>
        <v>2</v>
      </c>
      <c r="AB140" s="45">
        <v>1</v>
      </c>
      <c r="AC140" s="45">
        <v>2</v>
      </c>
      <c r="AD140" s="45">
        <v>3</v>
      </c>
      <c r="AE140" s="45">
        <v>3</v>
      </c>
    </row>
    <row r="141" spans="1:31" x14ac:dyDescent="0.2">
      <c r="A141" s="45">
        <v>146</v>
      </c>
      <c r="B141" s="45">
        <v>2</v>
      </c>
      <c r="C141" s="45">
        <v>2</v>
      </c>
      <c r="D141" s="45">
        <v>4</v>
      </c>
      <c r="E141" s="45">
        <v>2</v>
      </c>
      <c r="F141" s="45">
        <v>2</v>
      </c>
      <c r="G141" s="45">
        <v>1</v>
      </c>
      <c r="H141" s="45">
        <v>1</v>
      </c>
      <c r="I141" s="45">
        <v>4</v>
      </c>
      <c r="J141" s="45">
        <v>1</v>
      </c>
      <c r="K141" s="45">
        <v>1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</row>
    <row r="142" spans="1:31" x14ac:dyDescent="0.2">
      <c r="A142" s="45">
        <v>43</v>
      </c>
      <c r="B142" s="45">
        <v>3</v>
      </c>
      <c r="C142" s="45">
        <v>2</v>
      </c>
      <c r="D142" s="45">
        <v>2</v>
      </c>
      <c r="E142" s="45">
        <v>2</v>
      </c>
      <c r="F142" s="45">
        <v>4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</row>
    <row r="143" spans="1:31" x14ac:dyDescent="0.2">
      <c r="A143" s="45">
        <v>257</v>
      </c>
      <c r="B143" s="45">
        <v>2</v>
      </c>
      <c r="C143" s="45">
        <v>1</v>
      </c>
      <c r="D143" s="45">
        <v>5</v>
      </c>
      <c r="E143" s="45">
        <v>5</v>
      </c>
      <c r="F143" s="45">
        <v>5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</row>
    <row r="144" spans="1:31" x14ac:dyDescent="0.2">
      <c r="A144" s="46">
        <v>103</v>
      </c>
      <c r="B144" s="46">
        <v>3</v>
      </c>
      <c r="C144" s="46">
        <v>1</v>
      </c>
      <c r="D144" s="46">
        <v>1</v>
      </c>
      <c r="E144" s="46">
        <v>1</v>
      </c>
      <c r="F144" s="46">
        <v>1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</row>
    <row r="145" spans="1:31" s="36" customFormat="1" x14ac:dyDescent="0.2"/>
    <row r="146" spans="1:31" x14ac:dyDescent="0.2">
      <c r="A146" s="47">
        <v>214</v>
      </c>
      <c r="B146" s="47">
        <v>2</v>
      </c>
      <c r="C146" s="47">
        <v>2</v>
      </c>
      <c r="D146" s="47">
        <v>3</v>
      </c>
      <c r="E146" s="47">
        <v>4</v>
      </c>
      <c r="F146" s="47">
        <v>4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x14ac:dyDescent="0.2">
      <c r="A147" s="45">
        <v>229</v>
      </c>
      <c r="B147" s="45">
        <v>1</v>
      </c>
      <c r="C147" s="45">
        <v>2</v>
      </c>
      <c r="D147" s="45">
        <v>1</v>
      </c>
      <c r="E147" s="45">
        <v>1</v>
      </c>
      <c r="F147" s="45">
        <v>4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>
        <v>1</v>
      </c>
      <c r="W147" s="45">
        <v>1</v>
      </c>
      <c r="X147" s="45">
        <v>4</v>
      </c>
      <c r="Y147" s="45">
        <v>4</v>
      </c>
      <c r="Z147" s="45">
        <v>4</v>
      </c>
      <c r="AA147" s="45"/>
      <c r="AB147" s="45"/>
      <c r="AC147" s="45"/>
      <c r="AD147" s="45"/>
      <c r="AE147" s="45"/>
    </row>
    <row r="148" spans="1:31" x14ac:dyDescent="0.2">
      <c r="A148" s="45">
        <v>230</v>
      </c>
      <c r="B148" s="45">
        <v>1</v>
      </c>
      <c r="C148" s="45">
        <v>2</v>
      </c>
      <c r="D148" s="45">
        <v>4</v>
      </c>
      <c r="E148" s="45">
        <v>3</v>
      </c>
      <c r="F148" s="45">
        <v>4</v>
      </c>
      <c r="G148" s="45">
        <v>1</v>
      </c>
      <c r="H148" s="45">
        <v>2</v>
      </c>
      <c r="I148" s="45">
        <v>2</v>
      </c>
      <c r="J148" s="45">
        <v>4</v>
      </c>
      <c r="K148" s="45">
        <v>4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</row>
    <row r="149" spans="1:31" x14ac:dyDescent="0.2">
      <c r="A149" s="45">
        <v>231</v>
      </c>
      <c r="B149" s="45">
        <v>2</v>
      </c>
      <c r="C149" s="45">
        <v>1</v>
      </c>
      <c r="D149" s="45">
        <v>3</v>
      </c>
      <c r="E149" s="45">
        <v>3</v>
      </c>
      <c r="F149" s="45">
        <v>4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</row>
    <row r="150" spans="1:31" x14ac:dyDescent="0.2">
      <c r="A150" s="45">
        <v>269</v>
      </c>
      <c r="B150" s="45">
        <v>2</v>
      </c>
      <c r="C150" s="45">
        <v>1</v>
      </c>
      <c r="D150" s="45">
        <v>3</v>
      </c>
      <c r="E150" s="45">
        <v>3</v>
      </c>
      <c r="F150" s="45">
        <v>3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</row>
    <row r="151" spans="1:31" x14ac:dyDescent="0.2">
      <c r="A151" s="45">
        <v>270</v>
      </c>
      <c r="B151" s="45">
        <v>3</v>
      </c>
      <c r="C151" s="45">
        <v>2</v>
      </c>
      <c r="D151" s="45">
        <v>3</v>
      </c>
      <c r="E151" s="45">
        <v>3</v>
      </c>
      <c r="F151" s="45">
        <v>4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</row>
    <row r="152" spans="1:31" x14ac:dyDescent="0.2">
      <c r="A152" s="45">
        <v>317</v>
      </c>
      <c r="B152" s="45">
        <v>3</v>
      </c>
      <c r="C152" s="45">
        <v>1</v>
      </c>
      <c r="D152" s="45">
        <v>2</v>
      </c>
      <c r="E152" s="45">
        <v>1</v>
      </c>
      <c r="F152" s="45">
        <v>2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</row>
    <row r="153" spans="1:31" x14ac:dyDescent="0.2">
      <c r="A153" s="45">
        <v>318</v>
      </c>
      <c r="B153" s="45">
        <v>3</v>
      </c>
      <c r="C153" s="45">
        <v>1</v>
      </c>
      <c r="D153" s="45">
        <v>2</v>
      </c>
      <c r="E153" s="45">
        <v>2</v>
      </c>
      <c r="F153" s="45">
        <v>2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</row>
    <row r="154" spans="1:31" x14ac:dyDescent="0.2">
      <c r="A154" s="45">
        <v>319</v>
      </c>
      <c r="B154" s="45">
        <v>3</v>
      </c>
      <c r="C154" s="45">
        <v>1</v>
      </c>
      <c r="D154" s="45">
        <v>2</v>
      </c>
      <c r="E154" s="45">
        <v>2</v>
      </c>
      <c r="F154" s="45">
        <v>2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</row>
    <row r="155" spans="1:31" x14ac:dyDescent="0.2">
      <c r="A155" s="46">
        <v>232</v>
      </c>
      <c r="B155" s="46"/>
      <c r="C155" s="46"/>
      <c r="D155" s="46"/>
      <c r="E155" s="46"/>
      <c r="F155" s="46"/>
      <c r="G155" s="46">
        <v>3</v>
      </c>
      <c r="H155" s="46">
        <v>1</v>
      </c>
      <c r="I155" s="46">
        <v>2</v>
      </c>
      <c r="J155" s="46">
        <v>4</v>
      </c>
      <c r="K155" s="46">
        <v>1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</row>
    <row r="156" spans="1:31" s="36" customFormat="1" x14ac:dyDescent="0.2"/>
    <row r="157" spans="1:31" x14ac:dyDescent="0.2">
      <c r="A157" s="47">
        <v>156</v>
      </c>
      <c r="B157" s="47"/>
      <c r="C157" s="47"/>
      <c r="D157" s="47"/>
      <c r="E157" s="47"/>
      <c r="F157" s="47"/>
      <c r="G157" s="47">
        <v>3</v>
      </c>
      <c r="H157" s="47">
        <v>1</v>
      </c>
      <c r="I157" s="47">
        <v>1</v>
      </c>
      <c r="J157" s="47">
        <v>4</v>
      </c>
      <c r="K157" s="47">
        <v>3</v>
      </c>
      <c r="L157" s="47">
        <v>3</v>
      </c>
      <c r="M157" s="47">
        <v>1</v>
      </c>
      <c r="N157" s="47">
        <v>1</v>
      </c>
      <c r="O157" s="47">
        <v>1</v>
      </c>
      <c r="P157" s="47">
        <v>1</v>
      </c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x14ac:dyDescent="0.2">
      <c r="A158" s="45">
        <v>151</v>
      </c>
      <c r="B158" s="45"/>
      <c r="C158" s="45"/>
      <c r="D158" s="45"/>
      <c r="E158" s="45"/>
      <c r="F158" s="45"/>
      <c r="G158" s="45">
        <v>3</v>
      </c>
      <c r="H158" s="45">
        <v>1</v>
      </c>
      <c r="I158" s="45">
        <v>3</v>
      </c>
      <c r="J158" s="45">
        <v>2</v>
      </c>
      <c r="K158" s="45">
        <v>1</v>
      </c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</row>
    <row r="159" spans="1:31" x14ac:dyDescent="0.2">
      <c r="A159" s="45">
        <v>157</v>
      </c>
      <c r="B159" s="45">
        <v>1</v>
      </c>
      <c r="C159" s="45">
        <v>1</v>
      </c>
      <c r="D159" s="45">
        <v>1</v>
      </c>
      <c r="E159" s="45">
        <v>4</v>
      </c>
      <c r="F159" s="45">
        <v>1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</row>
    <row r="160" spans="1:31" x14ac:dyDescent="0.2">
      <c r="A160" s="45">
        <v>50</v>
      </c>
      <c r="B160" s="45">
        <v>3</v>
      </c>
      <c r="C160" s="45">
        <v>2</v>
      </c>
      <c r="D160" s="45">
        <v>2</v>
      </c>
      <c r="E160" s="45">
        <v>2</v>
      </c>
      <c r="F160" s="45">
        <v>4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</row>
    <row r="161" spans="1:31" x14ac:dyDescent="0.2">
      <c r="A161" s="45">
        <v>49</v>
      </c>
      <c r="B161" s="45">
        <v>3</v>
      </c>
      <c r="C161" s="45">
        <v>2</v>
      </c>
      <c r="D161" s="45">
        <v>3</v>
      </c>
      <c r="E161" s="45">
        <v>3</v>
      </c>
      <c r="F161" s="45">
        <v>4</v>
      </c>
      <c r="G161" s="45">
        <v>3</v>
      </c>
      <c r="H161" s="45">
        <v>1</v>
      </c>
      <c r="I161" s="45">
        <v>2</v>
      </c>
      <c r="J161" s="45">
        <v>2</v>
      </c>
      <c r="K161" s="45">
        <v>4</v>
      </c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</row>
    <row r="162" spans="1:31" x14ac:dyDescent="0.2">
      <c r="A162" s="45">
        <v>44</v>
      </c>
      <c r="B162" s="45">
        <v>3</v>
      </c>
      <c r="C162" s="45">
        <v>2</v>
      </c>
      <c r="D162" s="45">
        <v>4</v>
      </c>
      <c r="E162" s="45">
        <v>2</v>
      </c>
      <c r="F162" s="45">
        <v>4</v>
      </c>
      <c r="G162" s="45">
        <v>3</v>
      </c>
      <c r="H162" s="45">
        <v>1</v>
      </c>
      <c r="I162" s="45">
        <v>4</v>
      </c>
      <c r="J162" s="45">
        <v>2</v>
      </c>
      <c r="K162" s="45">
        <v>2</v>
      </c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</row>
    <row r="163" spans="1:31" x14ac:dyDescent="0.2">
      <c r="A163" s="45">
        <v>45</v>
      </c>
      <c r="B163" s="45">
        <v>3</v>
      </c>
      <c r="C163" s="45">
        <v>2</v>
      </c>
      <c r="D163" s="45">
        <v>5</v>
      </c>
      <c r="E163" s="45">
        <v>4</v>
      </c>
      <c r="F163" s="45">
        <v>5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</row>
    <row r="164" spans="1:31" x14ac:dyDescent="0.2">
      <c r="A164" s="45">
        <v>46</v>
      </c>
      <c r="B164" s="45">
        <v>3</v>
      </c>
      <c r="C164" s="45">
        <v>2</v>
      </c>
      <c r="D164" s="45">
        <v>3</v>
      </c>
      <c r="E164" s="45">
        <v>5</v>
      </c>
      <c r="F164" s="45">
        <v>4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</row>
    <row r="165" spans="1:31" x14ac:dyDescent="0.2">
      <c r="A165" s="45">
        <v>48</v>
      </c>
      <c r="B165" s="45"/>
      <c r="C165" s="45"/>
      <c r="D165" s="45"/>
      <c r="E165" s="45"/>
      <c r="F165" s="45"/>
      <c r="G165" s="45">
        <v>3</v>
      </c>
      <c r="H165" s="45">
        <v>1</v>
      </c>
      <c r="I165" s="45">
        <v>3</v>
      </c>
      <c r="J165" s="45">
        <v>2</v>
      </c>
      <c r="K165" s="45">
        <v>2</v>
      </c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</row>
    <row r="166" spans="1:31" x14ac:dyDescent="0.2">
      <c r="A166" s="45">
        <v>47</v>
      </c>
      <c r="B166" s="45">
        <v>3</v>
      </c>
      <c r="C166" s="45">
        <v>2</v>
      </c>
      <c r="D166" s="45">
        <v>2</v>
      </c>
      <c r="E166" s="45">
        <v>2</v>
      </c>
      <c r="F166" s="45">
        <v>4</v>
      </c>
      <c r="G166" s="45">
        <v>3</v>
      </c>
      <c r="H166" s="45">
        <v>1</v>
      </c>
      <c r="I166" s="45">
        <v>2</v>
      </c>
      <c r="J166" s="45">
        <v>2</v>
      </c>
      <c r="K166" s="45">
        <v>2</v>
      </c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</row>
    <row r="167" spans="1:31" x14ac:dyDescent="0.2">
      <c r="A167" s="45">
        <v>149</v>
      </c>
      <c r="B167" s="45"/>
      <c r="C167" s="45"/>
      <c r="D167" s="45"/>
      <c r="E167" s="45"/>
      <c r="F167" s="45"/>
      <c r="G167" s="45">
        <v>3</v>
      </c>
      <c r="H167" s="45">
        <v>1</v>
      </c>
      <c r="I167" s="45">
        <v>1</v>
      </c>
      <c r="J167" s="45">
        <v>2</v>
      </c>
      <c r="K167" s="45">
        <v>1</v>
      </c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</row>
    <row r="168" spans="1:31" x14ac:dyDescent="0.2">
      <c r="A168" s="45">
        <v>150</v>
      </c>
      <c r="B168" s="45">
        <v>3</v>
      </c>
      <c r="C168" s="45">
        <v>1</v>
      </c>
      <c r="D168" s="45">
        <v>1</v>
      </c>
      <c r="E168" s="45">
        <v>2</v>
      </c>
      <c r="F168" s="45">
        <v>3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</row>
    <row r="169" spans="1:31" x14ac:dyDescent="0.2">
      <c r="A169" s="45">
        <v>153</v>
      </c>
      <c r="B169" s="45">
        <v>3</v>
      </c>
      <c r="C169" s="45">
        <v>1</v>
      </c>
      <c r="D169" s="45">
        <v>1</v>
      </c>
      <c r="E169" s="45">
        <v>1</v>
      </c>
      <c r="F169" s="45">
        <v>1</v>
      </c>
      <c r="G169" s="45">
        <v>3</v>
      </c>
      <c r="H169" s="45">
        <v>1</v>
      </c>
      <c r="I169" s="45">
        <v>1</v>
      </c>
      <c r="J169" s="45">
        <v>1</v>
      </c>
      <c r="K169" s="45">
        <v>1</v>
      </c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</row>
    <row r="170" spans="1:31" x14ac:dyDescent="0.2">
      <c r="A170" s="45">
        <v>152</v>
      </c>
      <c r="B170" s="45">
        <v>3</v>
      </c>
      <c r="C170" s="45">
        <v>1</v>
      </c>
      <c r="D170" s="45">
        <v>1</v>
      </c>
      <c r="E170" s="45">
        <v>1</v>
      </c>
      <c r="F170" s="45">
        <v>1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</row>
    <row r="171" spans="1:31" x14ac:dyDescent="0.2">
      <c r="A171" s="45">
        <v>155</v>
      </c>
      <c r="B171" s="45">
        <v>3</v>
      </c>
      <c r="C171" s="45">
        <v>1</v>
      </c>
      <c r="D171" s="45">
        <v>3</v>
      </c>
      <c r="E171" s="45">
        <v>3</v>
      </c>
      <c r="F171" s="45">
        <v>1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</row>
    <row r="172" spans="1:31" x14ac:dyDescent="0.2">
      <c r="A172" s="46">
        <v>154</v>
      </c>
      <c r="B172" s="46">
        <v>1</v>
      </c>
      <c r="C172" s="46">
        <v>2</v>
      </c>
      <c r="D172" s="46">
        <v>1</v>
      </c>
      <c r="E172" s="46">
        <v>1</v>
      </c>
      <c r="F172" s="46">
        <v>3</v>
      </c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</row>
    <row r="173" spans="1:31" s="36" customFormat="1" x14ac:dyDescent="0.2"/>
    <row r="174" spans="1:31" x14ac:dyDescent="0.2">
      <c r="A174" s="47">
        <v>163</v>
      </c>
      <c r="B174" s="47">
        <v>3</v>
      </c>
      <c r="C174" s="47">
        <v>1</v>
      </c>
      <c r="D174" s="47">
        <v>1</v>
      </c>
      <c r="E174" s="47">
        <v>1</v>
      </c>
      <c r="F174" s="47">
        <v>3</v>
      </c>
      <c r="G174" s="47">
        <v>3</v>
      </c>
      <c r="H174" s="47">
        <v>1</v>
      </c>
      <c r="I174" s="47">
        <v>1</v>
      </c>
      <c r="J174" s="47">
        <v>1</v>
      </c>
      <c r="K174" s="47">
        <v>1</v>
      </c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x14ac:dyDescent="0.2">
      <c r="A175" s="45">
        <v>164</v>
      </c>
      <c r="B175" s="45">
        <v>3</v>
      </c>
      <c r="C175" s="45">
        <v>1</v>
      </c>
      <c r="D175" s="45">
        <v>1</v>
      </c>
      <c r="E175" s="45">
        <v>1</v>
      </c>
      <c r="F175" s="45">
        <v>1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>
        <v>3</v>
      </c>
      <c r="W175" s="45">
        <v>1</v>
      </c>
      <c r="X175" s="45">
        <v>3</v>
      </c>
      <c r="Y175" s="45">
        <v>1</v>
      </c>
      <c r="Z175" s="45">
        <v>3</v>
      </c>
      <c r="AA175" s="45"/>
      <c r="AB175" s="45"/>
      <c r="AC175" s="45"/>
      <c r="AD175" s="45"/>
      <c r="AE175" s="45"/>
    </row>
    <row r="176" spans="1:31" x14ac:dyDescent="0.2">
      <c r="A176" s="45">
        <v>165</v>
      </c>
      <c r="B176" s="45">
        <v>3</v>
      </c>
      <c r="C176" s="45">
        <v>1</v>
      </c>
      <c r="D176" s="45">
        <v>1</v>
      </c>
      <c r="E176" s="45">
        <v>1</v>
      </c>
      <c r="F176" s="45">
        <v>3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</row>
    <row r="177" spans="1:31" x14ac:dyDescent="0.2">
      <c r="A177" s="45">
        <v>56</v>
      </c>
      <c r="B177" s="45">
        <v>3</v>
      </c>
      <c r="C177" s="45">
        <v>2</v>
      </c>
      <c r="D177" s="45">
        <v>2</v>
      </c>
      <c r="E177" s="45">
        <v>3</v>
      </c>
      <c r="F177" s="45">
        <v>2</v>
      </c>
      <c r="G177" s="45">
        <v>3</v>
      </c>
      <c r="H177" s="45">
        <v>1</v>
      </c>
      <c r="I177" s="45">
        <v>4</v>
      </c>
      <c r="J177" s="45">
        <v>3</v>
      </c>
      <c r="K177" s="45">
        <v>2</v>
      </c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</row>
    <row r="178" spans="1:31" x14ac:dyDescent="0.2">
      <c r="A178" s="45">
        <v>58</v>
      </c>
      <c r="B178" s="45">
        <v>3</v>
      </c>
      <c r="C178" s="45">
        <v>2</v>
      </c>
      <c r="D178" s="45">
        <v>2</v>
      </c>
      <c r="E178" s="45">
        <v>2</v>
      </c>
      <c r="F178" s="45">
        <v>4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>
        <v>3</v>
      </c>
      <c r="W178" s="45">
        <v>1</v>
      </c>
      <c r="X178" s="45">
        <v>5</v>
      </c>
      <c r="Y178" s="45">
        <v>2</v>
      </c>
      <c r="Z178" s="45">
        <v>3</v>
      </c>
      <c r="AA178" s="45"/>
      <c r="AB178" s="45"/>
      <c r="AC178" s="45"/>
      <c r="AD178" s="45"/>
      <c r="AE178" s="45"/>
    </row>
    <row r="179" spans="1:31" x14ac:dyDescent="0.2">
      <c r="A179" s="45">
        <v>59</v>
      </c>
      <c r="B179" s="45">
        <v>3</v>
      </c>
      <c r="C179" s="45">
        <v>2</v>
      </c>
      <c r="D179" s="45">
        <v>2</v>
      </c>
      <c r="E179" s="45">
        <v>5</v>
      </c>
      <c r="F179" s="45">
        <v>4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</row>
    <row r="180" spans="1:31" x14ac:dyDescent="0.2">
      <c r="A180" s="45">
        <v>60</v>
      </c>
      <c r="B180" s="45">
        <v>3</v>
      </c>
      <c r="C180" s="45">
        <v>2</v>
      </c>
      <c r="D180" s="45">
        <v>2</v>
      </c>
      <c r="E180" s="45">
        <v>3</v>
      </c>
      <c r="F180" s="45">
        <v>4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>
        <v>3</v>
      </c>
      <c r="W180" s="45">
        <v>1</v>
      </c>
      <c r="X180" s="45">
        <v>2</v>
      </c>
      <c r="Y180" s="45">
        <v>3</v>
      </c>
      <c r="Z180" s="45">
        <v>2</v>
      </c>
      <c r="AA180" s="45"/>
      <c r="AB180" s="45"/>
      <c r="AC180" s="45"/>
      <c r="AD180" s="45"/>
      <c r="AE180" s="45"/>
    </row>
    <row r="181" spans="1:31" x14ac:dyDescent="0.2">
      <c r="A181" s="45">
        <v>61</v>
      </c>
      <c r="B181" s="45">
        <v>3</v>
      </c>
      <c r="C181" s="45">
        <v>2</v>
      </c>
      <c r="D181" s="45">
        <v>2</v>
      </c>
      <c r="E181" s="45">
        <v>5</v>
      </c>
      <c r="F181" s="45">
        <v>2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</row>
    <row r="182" spans="1:31" x14ac:dyDescent="0.2">
      <c r="A182" s="45">
        <v>62</v>
      </c>
      <c r="B182" s="45">
        <v>3</v>
      </c>
      <c r="C182" s="45">
        <v>4</v>
      </c>
      <c r="D182" s="45">
        <v>2</v>
      </c>
      <c r="E182" s="45">
        <v>3</v>
      </c>
      <c r="F182" s="45">
        <v>3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</row>
    <row r="183" spans="1:31" x14ac:dyDescent="0.2">
      <c r="A183" s="45">
        <v>63</v>
      </c>
      <c r="B183" s="45">
        <v>3</v>
      </c>
      <c r="C183" s="45">
        <v>2</v>
      </c>
      <c r="D183" s="45">
        <v>2</v>
      </c>
      <c r="E183" s="45">
        <v>4</v>
      </c>
      <c r="F183" s="45">
        <v>4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</row>
    <row r="184" spans="1:31" x14ac:dyDescent="0.2">
      <c r="A184" s="45">
        <v>65</v>
      </c>
      <c r="B184" s="45">
        <v>3</v>
      </c>
      <c r="C184" s="45">
        <v>2</v>
      </c>
      <c r="D184" s="45">
        <v>2</v>
      </c>
      <c r="E184" s="45">
        <v>2</v>
      </c>
      <c r="F184" s="45">
        <v>3</v>
      </c>
      <c r="G184" s="45">
        <v>3</v>
      </c>
      <c r="H184" s="45">
        <v>1</v>
      </c>
      <c r="I184" s="45">
        <v>2</v>
      </c>
      <c r="J184" s="45">
        <v>2</v>
      </c>
      <c r="K184" s="45">
        <v>3</v>
      </c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</row>
    <row r="185" spans="1:31" x14ac:dyDescent="0.2">
      <c r="A185" s="45">
        <v>162</v>
      </c>
      <c r="B185" s="45">
        <v>3</v>
      </c>
      <c r="C185" s="45">
        <v>1</v>
      </c>
      <c r="D185" s="45">
        <v>1</v>
      </c>
      <c r="E185" s="45">
        <v>1</v>
      </c>
      <c r="F185" s="45">
        <v>3</v>
      </c>
      <c r="G185" s="45">
        <v>3</v>
      </c>
      <c r="H185" s="45">
        <v>1</v>
      </c>
      <c r="I185" s="45">
        <v>1</v>
      </c>
      <c r="J185" s="45">
        <v>1</v>
      </c>
      <c r="K185" s="45">
        <v>1</v>
      </c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</row>
    <row r="186" spans="1:31" x14ac:dyDescent="0.2">
      <c r="A186" s="45">
        <v>158</v>
      </c>
      <c r="B186" s="45"/>
      <c r="C186" s="45"/>
      <c r="D186" s="45"/>
      <c r="E186" s="45"/>
      <c r="F186" s="45"/>
      <c r="G186" s="45">
        <v>1</v>
      </c>
      <c r="H186" s="45">
        <v>1</v>
      </c>
      <c r="I186" s="45">
        <v>2</v>
      </c>
      <c r="J186" s="45">
        <v>2</v>
      </c>
      <c r="K186" s="45">
        <v>3</v>
      </c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>
        <v>1</v>
      </c>
      <c r="W186" s="45">
        <v>1</v>
      </c>
      <c r="X186" s="45">
        <v>2</v>
      </c>
      <c r="Y186" s="45">
        <v>1</v>
      </c>
      <c r="Z186" s="45">
        <v>4</v>
      </c>
      <c r="AA186" s="45"/>
      <c r="AB186" s="45"/>
      <c r="AC186" s="45"/>
      <c r="AD186" s="45"/>
      <c r="AE186" s="45"/>
    </row>
    <row r="187" spans="1:31" x14ac:dyDescent="0.2">
      <c r="A187" s="45">
        <v>159</v>
      </c>
      <c r="B187" s="45">
        <v>3</v>
      </c>
      <c r="C187" s="45">
        <v>1</v>
      </c>
      <c r="D187" s="45">
        <v>2</v>
      </c>
      <c r="E187" s="45">
        <v>1</v>
      </c>
      <c r="F187" s="45">
        <v>2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>
        <v>3</v>
      </c>
      <c r="R187" s="45">
        <v>1</v>
      </c>
      <c r="S187" s="45">
        <v>2</v>
      </c>
      <c r="T187" s="45">
        <v>1</v>
      </c>
      <c r="U187" s="45">
        <v>2</v>
      </c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</row>
    <row r="188" spans="1:31" x14ac:dyDescent="0.2">
      <c r="A188" s="45">
        <v>160</v>
      </c>
      <c r="B188" s="45">
        <v>3</v>
      </c>
      <c r="C188" s="45">
        <v>1</v>
      </c>
      <c r="D188" s="45">
        <v>1</v>
      </c>
      <c r="E188" s="45">
        <v>1</v>
      </c>
      <c r="F188" s="45">
        <v>1</v>
      </c>
      <c r="G188" s="45">
        <v>3</v>
      </c>
      <c r="H188" s="45">
        <v>1</v>
      </c>
      <c r="I188" s="45">
        <v>1</v>
      </c>
      <c r="J188" s="45">
        <v>1</v>
      </c>
      <c r="K188" s="45">
        <v>1</v>
      </c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</row>
    <row r="189" spans="1:31" x14ac:dyDescent="0.2">
      <c r="A189" s="45">
        <v>161</v>
      </c>
      <c r="B189" s="45">
        <v>1</v>
      </c>
      <c r="C189" s="45">
        <v>1</v>
      </c>
      <c r="D189" s="45">
        <v>1</v>
      </c>
      <c r="E189" s="45">
        <v>1</v>
      </c>
      <c r="F189" s="45">
        <v>3</v>
      </c>
      <c r="G189" s="45">
        <v>1</v>
      </c>
      <c r="H189" s="45">
        <v>1</v>
      </c>
      <c r="I189" s="45">
        <v>1</v>
      </c>
      <c r="J189" s="45">
        <v>5</v>
      </c>
      <c r="K189" s="45">
        <v>1</v>
      </c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</row>
    <row r="190" spans="1:31" x14ac:dyDescent="0.2">
      <c r="A190" s="45">
        <v>215</v>
      </c>
      <c r="B190" s="45">
        <v>2</v>
      </c>
      <c r="C190" s="45">
        <v>2</v>
      </c>
      <c r="D190" s="45">
        <v>2</v>
      </c>
      <c r="E190" s="45">
        <v>4</v>
      </c>
      <c r="F190" s="45">
        <v>3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</row>
    <row r="191" spans="1:31" x14ac:dyDescent="0.2">
      <c r="A191" s="45">
        <v>57</v>
      </c>
      <c r="B191" s="45"/>
      <c r="C191" s="45"/>
      <c r="D191" s="45"/>
      <c r="E191" s="45"/>
      <c r="F191" s="45"/>
      <c r="G191" s="45">
        <v>3</v>
      </c>
      <c r="H191" s="45">
        <v>1</v>
      </c>
      <c r="I191" s="45">
        <v>2</v>
      </c>
      <c r="J191" s="45">
        <v>2</v>
      </c>
      <c r="K191" s="45">
        <v>2</v>
      </c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</row>
    <row r="192" spans="1:31" x14ac:dyDescent="0.2">
      <c r="A192" s="46">
        <v>166</v>
      </c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>
        <v>3</v>
      </c>
      <c r="W192" s="46">
        <v>1</v>
      </c>
      <c r="X192" s="46">
        <v>1</v>
      </c>
      <c r="Y192" s="46">
        <v>1</v>
      </c>
      <c r="Z192" s="46">
        <v>4</v>
      </c>
      <c r="AA192" s="46"/>
      <c r="AB192" s="46"/>
      <c r="AC192" s="46"/>
      <c r="AD192" s="46"/>
      <c r="AE192" s="46"/>
    </row>
    <row r="193" spans="1:31" s="36" customFormat="1" x14ac:dyDescent="0.2"/>
    <row r="194" spans="1:31" x14ac:dyDescent="0.2">
      <c r="A194" s="47">
        <v>167</v>
      </c>
      <c r="B194" s="47">
        <v>3</v>
      </c>
      <c r="C194" s="47">
        <v>1</v>
      </c>
      <c r="D194" s="47">
        <v>1</v>
      </c>
      <c r="E194" s="47">
        <v>2</v>
      </c>
      <c r="F194" s="47">
        <v>1</v>
      </c>
      <c r="G194" s="47">
        <v>3</v>
      </c>
      <c r="H194" s="47">
        <v>1</v>
      </c>
      <c r="I194" s="47">
        <v>3</v>
      </c>
      <c r="J194" s="47">
        <v>1</v>
      </c>
      <c r="K194" s="47">
        <v>1</v>
      </c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x14ac:dyDescent="0.2">
      <c r="A195" s="45">
        <v>166</v>
      </c>
      <c r="B195" s="45">
        <v>3</v>
      </c>
      <c r="C195" s="45">
        <v>1</v>
      </c>
      <c r="D195" s="45">
        <v>1</v>
      </c>
      <c r="E195" s="45">
        <v>3</v>
      </c>
      <c r="F195" s="45">
        <v>1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</row>
    <row r="196" spans="1:31" x14ac:dyDescent="0.2">
      <c r="A196" s="45">
        <v>64</v>
      </c>
      <c r="B196" s="45">
        <v>3</v>
      </c>
      <c r="C196" s="45">
        <v>2</v>
      </c>
      <c r="D196" s="45">
        <v>2</v>
      </c>
      <c r="E196" s="45">
        <v>2</v>
      </c>
      <c r="F196" s="45">
        <v>4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</row>
    <row r="197" spans="1:31" x14ac:dyDescent="0.2">
      <c r="A197" s="45">
        <v>228</v>
      </c>
      <c r="B197" s="45">
        <v>2</v>
      </c>
      <c r="C197" s="45">
        <v>2</v>
      </c>
      <c r="D197" s="45">
        <v>1</v>
      </c>
      <c r="E197" s="45">
        <v>2</v>
      </c>
      <c r="F197" s="45">
        <v>2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>
        <v>1</v>
      </c>
      <c r="W197" s="45">
        <v>1</v>
      </c>
      <c r="X197" s="45">
        <v>5</v>
      </c>
      <c r="Y197" s="45">
        <v>4</v>
      </c>
      <c r="Z197" s="45">
        <v>4</v>
      </c>
      <c r="AA197" s="45"/>
      <c r="AB197" s="45"/>
      <c r="AC197" s="45"/>
      <c r="AD197" s="45"/>
      <c r="AE197" s="45"/>
    </row>
    <row r="198" spans="1:31" x14ac:dyDescent="0.2">
      <c r="A198" s="45">
        <v>316</v>
      </c>
      <c r="B198" s="45">
        <v>3</v>
      </c>
      <c r="C198" s="45">
        <v>2</v>
      </c>
      <c r="D198" s="45">
        <v>2</v>
      </c>
      <c r="E198" s="45">
        <v>2</v>
      </c>
      <c r="F198" s="45">
        <v>3</v>
      </c>
      <c r="G198" s="45">
        <v>3</v>
      </c>
      <c r="H198" s="45">
        <v>1</v>
      </c>
      <c r="I198" s="45">
        <v>3</v>
      </c>
      <c r="J198" s="45">
        <v>2</v>
      </c>
      <c r="K198" s="45">
        <v>3</v>
      </c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</row>
    <row r="199" spans="1:31" x14ac:dyDescent="0.2">
      <c r="A199" s="45">
        <v>268</v>
      </c>
      <c r="B199" s="45">
        <v>2</v>
      </c>
      <c r="C199" s="45">
        <v>2</v>
      </c>
      <c r="D199" s="45">
        <v>1</v>
      </c>
      <c r="E199" s="45">
        <v>1</v>
      </c>
      <c r="F199" s="45">
        <v>1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</row>
    <row r="200" spans="1:31" x14ac:dyDescent="0.2">
      <c r="A200" s="45">
        <v>66</v>
      </c>
      <c r="B200" s="45">
        <v>3</v>
      </c>
      <c r="C200" s="45">
        <v>2</v>
      </c>
      <c r="D200" s="45">
        <v>2</v>
      </c>
      <c r="E200" s="45">
        <v>3</v>
      </c>
      <c r="F200" s="45">
        <v>4</v>
      </c>
      <c r="G200" s="45">
        <v>3</v>
      </c>
      <c r="H200" s="45">
        <v>1</v>
      </c>
      <c r="I200" s="45">
        <v>2</v>
      </c>
      <c r="J200" s="45">
        <v>2</v>
      </c>
      <c r="K200" s="45">
        <v>3</v>
      </c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</row>
    <row r="201" spans="1:31" x14ac:dyDescent="0.2">
      <c r="A201" s="45">
        <v>68</v>
      </c>
      <c r="B201" s="45"/>
      <c r="C201" s="45"/>
      <c r="D201" s="45"/>
      <c r="E201" s="45"/>
      <c r="F201" s="45"/>
      <c r="G201" s="45">
        <v>3</v>
      </c>
      <c r="H201" s="45">
        <v>1</v>
      </c>
      <c r="I201" s="45">
        <v>2</v>
      </c>
      <c r="J201" s="45">
        <v>2</v>
      </c>
      <c r="K201" s="45">
        <v>2</v>
      </c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</row>
    <row r="202" spans="1:31" x14ac:dyDescent="0.2">
      <c r="A202" s="45">
        <v>67</v>
      </c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>
        <v>3</v>
      </c>
      <c r="W202" s="45">
        <v>1</v>
      </c>
      <c r="X202" s="45">
        <v>3</v>
      </c>
      <c r="Y202" s="45">
        <v>2</v>
      </c>
      <c r="Z202" s="45">
        <v>3</v>
      </c>
      <c r="AA202" s="45"/>
      <c r="AB202" s="45"/>
      <c r="AC202" s="45"/>
      <c r="AD202" s="45"/>
      <c r="AE202" s="45"/>
    </row>
    <row r="203" spans="1:31" x14ac:dyDescent="0.2">
      <c r="A203" s="45">
        <v>168</v>
      </c>
      <c r="B203" s="45"/>
      <c r="C203" s="45"/>
      <c r="D203" s="45"/>
      <c r="E203" s="45"/>
      <c r="F203" s="45"/>
      <c r="G203" s="45">
        <v>3</v>
      </c>
      <c r="H203" s="45">
        <v>1</v>
      </c>
      <c r="I203" s="45">
        <v>2</v>
      </c>
      <c r="J203" s="45">
        <v>3</v>
      </c>
      <c r="K203" s="45">
        <v>1</v>
      </c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</row>
    <row r="204" spans="1:31" x14ac:dyDescent="0.2">
      <c r="A204" s="46">
        <v>179</v>
      </c>
      <c r="B204" s="46"/>
      <c r="C204" s="46"/>
      <c r="D204" s="46"/>
      <c r="E204" s="46"/>
      <c r="F204" s="46"/>
      <c r="G204" s="46">
        <v>3</v>
      </c>
      <c r="H204" s="46">
        <v>1</v>
      </c>
      <c r="I204" s="46">
        <v>1</v>
      </c>
      <c r="J204" s="46">
        <v>2</v>
      </c>
      <c r="K204" s="46">
        <v>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</row>
    <row r="205" spans="1:31" s="36" customFormat="1" x14ac:dyDescent="0.2"/>
    <row r="206" spans="1:31" x14ac:dyDescent="0.2">
      <c r="A206" s="47">
        <v>72</v>
      </c>
      <c r="B206" s="47">
        <v>3</v>
      </c>
      <c r="C206" s="47">
        <v>2</v>
      </c>
      <c r="D206" s="47">
        <v>2</v>
      </c>
      <c r="E206" s="47">
        <v>3</v>
      </c>
      <c r="F206" s="47">
        <v>4</v>
      </c>
      <c r="G206" s="47">
        <v>3</v>
      </c>
      <c r="H206" s="47">
        <v>1</v>
      </c>
      <c r="I206" s="47">
        <v>3</v>
      </c>
      <c r="J206" s="47">
        <v>3</v>
      </c>
      <c r="K206" s="47">
        <v>2</v>
      </c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x14ac:dyDescent="0.2">
      <c r="A207" s="45">
        <v>74</v>
      </c>
      <c r="B207" s="45">
        <v>3</v>
      </c>
      <c r="C207" s="45">
        <v>2</v>
      </c>
      <c r="D207" s="45">
        <v>2</v>
      </c>
      <c r="E207" s="45">
        <v>2</v>
      </c>
      <c r="F207" s="45">
        <v>4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</row>
    <row r="208" spans="1:31" x14ac:dyDescent="0.2">
      <c r="A208" s="45">
        <v>176</v>
      </c>
      <c r="B208" s="45">
        <v>3</v>
      </c>
      <c r="C208" s="45">
        <v>1</v>
      </c>
      <c r="D208" s="45">
        <v>1</v>
      </c>
      <c r="E208" s="45">
        <v>1</v>
      </c>
      <c r="F208" s="45">
        <v>5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</row>
    <row r="209" spans="1:31" x14ac:dyDescent="0.2">
      <c r="A209" s="45">
        <v>175</v>
      </c>
      <c r="B209" s="45">
        <v>3</v>
      </c>
      <c r="C209" s="45">
        <v>1</v>
      </c>
      <c r="D209" s="45">
        <v>1</v>
      </c>
      <c r="E209" s="45">
        <v>2</v>
      </c>
      <c r="F209" s="45">
        <v>1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</row>
    <row r="210" spans="1:31" x14ac:dyDescent="0.2">
      <c r="A210" s="45">
        <v>174</v>
      </c>
      <c r="B210" s="45">
        <v>3</v>
      </c>
      <c r="C210" s="45">
        <v>1</v>
      </c>
      <c r="D210" s="45">
        <v>1</v>
      </c>
      <c r="E210" s="45">
        <v>1</v>
      </c>
      <c r="F210" s="45">
        <v>4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</row>
    <row r="211" spans="1:31" x14ac:dyDescent="0.2">
      <c r="A211" s="45">
        <v>173</v>
      </c>
      <c r="B211" s="45">
        <v>3</v>
      </c>
      <c r="C211" s="45">
        <v>1</v>
      </c>
      <c r="D211" s="45">
        <v>1</v>
      </c>
      <c r="E211" s="45">
        <v>1</v>
      </c>
      <c r="F211" s="45">
        <v>5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</row>
    <row r="212" spans="1:31" x14ac:dyDescent="0.2">
      <c r="A212" s="45">
        <v>172</v>
      </c>
      <c r="B212" s="45">
        <v>3</v>
      </c>
      <c r="C212" s="45">
        <v>1</v>
      </c>
      <c r="D212" s="45">
        <v>1</v>
      </c>
      <c r="E212" s="45">
        <v>3</v>
      </c>
      <c r="F212" s="45">
        <v>5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</row>
    <row r="213" spans="1:31" x14ac:dyDescent="0.2">
      <c r="A213" s="45">
        <v>171</v>
      </c>
      <c r="B213" s="45">
        <v>3</v>
      </c>
      <c r="C213" s="45">
        <v>1</v>
      </c>
      <c r="D213" s="45">
        <v>1</v>
      </c>
      <c r="E213" s="45">
        <v>4</v>
      </c>
      <c r="F213" s="45">
        <v>5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</row>
    <row r="214" spans="1:31" x14ac:dyDescent="0.2">
      <c r="A214" s="45">
        <v>71</v>
      </c>
      <c r="B214" s="45">
        <v>3</v>
      </c>
      <c r="C214" s="45">
        <v>3</v>
      </c>
      <c r="D214" s="45">
        <v>2</v>
      </c>
      <c r="E214" s="45">
        <v>2</v>
      </c>
      <c r="F214" s="45">
        <v>5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</row>
    <row r="215" spans="1:31" x14ac:dyDescent="0.2">
      <c r="A215" s="45">
        <v>70</v>
      </c>
      <c r="B215" s="45">
        <v>3</v>
      </c>
      <c r="C215" s="45">
        <v>2</v>
      </c>
      <c r="D215" s="45">
        <v>3</v>
      </c>
      <c r="E215" s="45">
        <v>4</v>
      </c>
      <c r="F215" s="45">
        <v>5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</row>
    <row r="216" spans="1:31" x14ac:dyDescent="0.2">
      <c r="A216" s="45">
        <v>69</v>
      </c>
      <c r="B216" s="45">
        <v>3</v>
      </c>
      <c r="C216" s="45">
        <v>2</v>
      </c>
      <c r="D216" s="45">
        <v>2</v>
      </c>
      <c r="E216" s="45">
        <v>4</v>
      </c>
      <c r="F216" s="45">
        <v>3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</row>
    <row r="217" spans="1:31" x14ac:dyDescent="0.2">
      <c r="A217" s="45">
        <v>177</v>
      </c>
      <c r="B217" s="45">
        <v>3</v>
      </c>
      <c r="C217" s="45">
        <v>1</v>
      </c>
      <c r="D217" s="45">
        <v>1</v>
      </c>
      <c r="E217" s="45">
        <v>1</v>
      </c>
      <c r="F217" s="45">
        <v>2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</row>
    <row r="218" spans="1:31" x14ac:dyDescent="0.2">
      <c r="A218" s="45">
        <v>75</v>
      </c>
      <c r="B218" s="45"/>
      <c r="C218" s="45"/>
      <c r="D218" s="45"/>
      <c r="E218" s="45"/>
      <c r="F218" s="45"/>
      <c r="G218" s="45">
        <v>2</v>
      </c>
      <c r="H218" s="45">
        <v>1</v>
      </c>
      <c r="I218" s="45">
        <v>1</v>
      </c>
      <c r="J218" s="45">
        <v>1</v>
      </c>
      <c r="K218" s="45">
        <v>1</v>
      </c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</row>
    <row r="219" spans="1:31" x14ac:dyDescent="0.2">
      <c r="A219" s="46">
        <v>73</v>
      </c>
      <c r="B219" s="46"/>
      <c r="C219" s="46"/>
      <c r="D219" s="46"/>
      <c r="E219" s="46"/>
      <c r="F219" s="46"/>
      <c r="G219" s="46">
        <v>3</v>
      </c>
      <c r="H219" s="46">
        <v>1</v>
      </c>
      <c r="I219" s="46">
        <v>2</v>
      </c>
      <c r="J219" s="46">
        <v>2</v>
      </c>
      <c r="K219" s="46">
        <v>2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</row>
    <row r="220" spans="1:31" s="36" customFormat="1" x14ac:dyDescent="0.2"/>
    <row r="221" spans="1:31" x14ac:dyDescent="0.2">
      <c r="A221" s="47">
        <v>216</v>
      </c>
      <c r="B221" s="47">
        <v>3</v>
      </c>
      <c r="C221" s="47">
        <v>1</v>
      </c>
      <c r="D221" s="47">
        <v>1</v>
      </c>
      <c r="E221" s="47">
        <v>3</v>
      </c>
      <c r="F221" s="47">
        <v>3</v>
      </c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>
        <v>1</v>
      </c>
      <c r="R221" s="47">
        <v>1</v>
      </c>
      <c r="S221" s="47">
        <v>4</v>
      </c>
      <c r="T221" s="47">
        <v>2</v>
      </c>
      <c r="U221" s="47">
        <v>2</v>
      </c>
      <c r="V221" s="47">
        <v>1</v>
      </c>
      <c r="W221" s="47">
        <v>1</v>
      </c>
      <c r="X221" s="47">
        <v>3</v>
      </c>
      <c r="Y221" s="47">
        <v>2</v>
      </c>
      <c r="Z221" s="47">
        <v>2</v>
      </c>
      <c r="AA221" s="47"/>
      <c r="AB221" s="47"/>
      <c r="AC221" s="47"/>
      <c r="AD221" s="47"/>
      <c r="AE221" s="47"/>
    </row>
    <row r="222" spans="1:31" x14ac:dyDescent="0.2">
      <c r="A222" s="45">
        <v>217</v>
      </c>
      <c r="B222" s="45">
        <v>2</v>
      </c>
      <c r="C222" s="45">
        <v>1</v>
      </c>
      <c r="D222" s="45">
        <v>1</v>
      </c>
      <c r="E222" s="45">
        <v>4</v>
      </c>
      <c r="F222" s="45">
        <v>5</v>
      </c>
      <c r="G222" s="45"/>
      <c r="H222" s="45"/>
      <c r="I222" s="45"/>
      <c r="J222" s="45"/>
      <c r="K222" s="45"/>
      <c r="L222" s="45">
        <v>2</v>
      </c>
      <c r="M222" s="45">
        <v>1</v>
      </c>
      <c r="N222" s="45">
        <v>1</v>
      </c>
      <c r="O222" s="45">
        <v>4</v>
      </c>
      <c r="P222" s="45">
        <v>2</v>
      </c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</row>
    <row r="223" spans="1:31" x14ac:dyDescent="0.2">
      <c r="A223" s="45">
        <v>218</v>
      </c>
      <c r="B223" s="45">
        <v>2</v>
      </c>
      <c r="C223" s="45">
        <v>2</v>
      </c>
      <c r="D223" s="45">
        <v>1</v>
      </c>
      <c r="E223" s="45">
        <v>4</v>
      </c>
      <c r="F223" s="45">
        <v>5</v>
      </c>
      <c r="G223" s="45"/>
      <c r="H223" s="45"/>
      <c r="I223" s="45"/>
      <c r="J223" s="45"/>
      <c r="K223" s="45"/>
      <c r="L223" s="45">
        <v>2</v>
      </c>
      <c r="M223" s="45">
        <v>2</v>
      </c>
      <c r="N223" s="45">
        <v>5</v>
      </c>
      <c r="O223" s="45">
        <v>5</v>
      </c>
      <c r="P223" s="45">
        <v>5</v>
      </c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>
        <v>2</v>
      </c>
      <c r="AB223" s="45">
        <v>2</v>
      </c>
      <c r="AC223" s="45">
        <v>1</v>
      </c>
      <c r="AD223" s="45">
        <v>1</v>
      </c>
      <c r="AE223" s="45">
        <v>2</v>
      </c>
    </row>
    <row r="224" spans="1:31" x14ac:dyDescent="0.2">
      <c r="A224" s="45">
        <v>81</v>
      </c>
      <c r="B224" s="45">
        <v>3</v>
      </c>
      <c r="C224" s="45">
        <v>2</v>
      </c>
      <c r="D224" s="45">
        <v>2</v>
      </c>
      <c r="E224" s="45">
        <v>2</v>
      </c>
      <c r="F224" s="45">
        <v>5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</row>
    <row r="225" spans="1:31" x14ac:dyDescent="0.2">
      <c r="A225" s="45">
        <v>82</v>
      </c>
      <c r="B225" s="45">
        <v>3</v>
      </c>
      <c r="C225" s="45">
        <v>2</v>
      </c>
      <c r="D225" s="45">
        <v>2</v>
      </c>
      <c r="E225" s="45">
        <v>2</v>
      </c>
      <c r="F225" s="45">
        <v>5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>
        <v>3</v>
      </c>
      <c r="R225" s="45">
        <v>1</v>
      </c>
      <c r="S225" s="45">
        <v>5</v>
      </c>
      <c r="T225" s="45">
        <v>4</v>
      </c>
      <c r="U225" s="45">
        <v>3</v>
      </c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</row>
    <row r="226" spans="1:31" x14ac:dyDescent="0.2">
      <c r="A226" s="45">
        <v>83</v>
      </c>
      <c r="B226" s="45">
        <v>3</v>
      </c>
      <c r="C226" s="45">
        <v>2</v>
      </c>
      <c r="D226" s="45">
        <v>2</v>
      </c>
      <c r="E226" s="45">
        <v>3</v>
      </c>
      <c r="F226" s="45">
        <v>4</v>
      </c>
      <c r="G226" s="45">
        <v>3</v>
      </c>
      <c r="H226" s="45">
        <v>1</v>
      </c>
      <c r="I226" s="45">
        <v>5</v>
      </c>
      <c r="J226" s="45">
        <v>3</v>
      </c>
      <c r="K226" s="45">
        <v>4</v>
      </c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</row>
    <row r="227" spans="1:31" x14ac:dyDescent="0.2">
      <c r="A227" s="45">
        <v>84</v>
      </c>
      <c r="B227" s="45">
        <v>3</v>
      </c>
      <c r="C227" s="45">
        <v>2</v>
      </c>
      <c r="D227" s="45">
        <v>2</v>
      </c>
      <c r="E227" s="45">
        <v>2</v>
      </c>
      <c r="F227" s="45">
        <v>5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</row>
    <row r="228" spans="1:31" x14ac:dyDescent="0.2">
      <c r="A228" s="45">
        <v>85</v>
      </c>
      <c r="B228" s="45">
        <v>3</v>
      </c>
      <c r="C228" s="45">
        <v>2</v>
      </c>
      <c r="D228" s="45">
        <v>2</v>
      </c>
      <c r="E228" s="45">
        <v>4</v>
      </c>
      <c r="F228" s="45">
        <v>4</v>
      </c>
      <c r="G228" s="45">
        <v>3</v>
      </c>
      <c r="H228" s="45">
        <v>1</v>
      </c>
      <c r="I228" s="45">
        <v>5</v>
      </c>
      <c r="J228" s="45">
        <v>3</v>
      </c>
      <c r="K228" s="45">
        <v>3</v>
      </c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</row>
    <row r="229" spans="1:31" x14ac:dyDescent="0.2">
      <c r="A229" s="45">
        <v>86</v>
      </c>
      <c r="B229" s="45">
        <v>3</v>
      </c>
      <c r="C229" s="45">
        <v>2</v>
      </c>
      <c r="D229" s="45">
        <v>5</v>
      </c>
      <c r="E229" s="45">
        <v>2</v>
      </c>
      <c r="F229" s="45">
        <v>4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</row>
    <row r="230" spans="1:31" x14ac:dyDescent="0.2">
      <c r="A230" s="45">
        <v>87</v>
      </c>
      <c r="B230" s="45">
        <v>3</v>
      </c>
      <c r="C230" s="45">
        <v>2</v>
      </c>
      <c r="D230" s="45">
        <v>2</v>
      </c>
      <c r="E230" s="45">
        <v>2</v>
      </c>
      <c r="F230" s="45">
        <v>4</v>
      </c>
      <c r="G230" s="45">
        <v>3</v>
      </c>
      <c r="H230" s="45">
        <v>1</v>
      </c>
      <c r="I230" s="45">
        <v>2</v>
      </c>
      <c r="J230" s="45">
        <v>2</v>
      </c>
      <c r="K230" s="45">
        <v>3</v>
      </c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</row>
    <row r="231" spans="1:31" x14ac:dyDescent="0.2">
      <c r="A231" s="45">
        <v>88</v>
      </c>
      <c r="B231" s="45"/>
      <c r="C231" s="45"/>
      <c r="D231" s="45"/>
      <c r="E231" s="45"/>
      <c r="F231" s="45"/>
      <c r="G231" s="45">
        <v>3</v>
      </c>
      <c r="H231" s="45">
        <v>1</v>
      </c>
      <c r="I231" s="45">
        <v>3</v>
      </c>
      <c r="J231" s="45">
        <v>3</v>
      </c>
      <c r="K231" s="45">
        <v>2</v>
      </c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</row>
    <row r="232" spans="1:31" x14ac:dyDescent="0.2">
      <c r="A232" s="45">
        <v>89</v>
      </c>
      <c r="B232" s="45">
        <v>3</v>
      </c>
      <c r="C232" s="45">
        <v>2</v>
      </c>
      <c r="D232" s="45">
        <v>2</v>
      </c>
      <c r="E232" s="45">
        <v>2</v>
      </c>
      <c r="F232" s="45">
        <v>5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</row>
    <row r="233" spans="1:31" x14ac:dyDescent="0.2">
      <c r="A233" s="45">
        <v>90</v>
      </c>
      <c r="B233" s="45">
        <v>3</v>
      </c>
      <c r="C233" s="45">
        <v>2</v>
      </c>
      <c r="D233" s="45">
        <v>2</v>
      </c>
      <c r="E233" s="45">
        <v>2</v>
      </c>
      <c r="F233" s="45">
        <v>5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</row>
    <row r="234" spans="1:31" x14ac:dyDescent="0.2">
      <c r="A234" s="45">
        <v>91</v>
      </c>
      <c r="B234" s="45">
        <v>3</v>
      </c>
      <c r="C234" s="45">
        <v>2</v>
      </c>
      <c r="D234" s="45">
        <v>2</v>
      </c>
      <c r="E234" s="45">
        <v>2</v>
      </c>
      <c r="F234" s="45">
        <v>5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</row>
    <row r="235" spans="1:31" x14ac:dyDescent="0.2">
      <c r="A235" s="45">
        <v>92</v>
      </c>
      <c r="B235" s="45">
        <v>3</v>
      </c>
      <c r="C235" s="45">
        <v>2</v>
      </c>
      <c r="D235" s="45">
        <v>2</v>
      </c>
      <c r="E235" s="45">
        <v>5</v>
      </c>
      <c r="F235" s="45">
        <v>5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</row>
    <row r="236" spans="1:31" x14ac:dyDescent="0.2">
      <c r="A236" s="45">
        <v>93</v>
      </c>
      <c r="B236" s="45">
        <v>3</v>
      </c>
      <c r="C236" s="45">
        <v>2</v>
      </c>
      <c r="D236" s="45">
        <v>3</v>
      </c>
      <c r="E236" s="45">
        <v>4</v>
      </c>
      <c r="F236" s="45">
        <v>5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</row>
    <row r="237" spans="1:31" x14ac:dyDescent="0.2">
      <c r="A237" s="45">
        <v>94</v>
      </c>
      <c r="B237" s="45">
        <v>3</v>
      </c>
      <c r="C237" s="45">
        <v>2</v>
      </c>
      <c r="D237" s="45">
        <v>3</v>
      </c>
      <c r="E237" s="45">
        <v>2</v>
      </c>
      <c r="F237" s="45">
        <v>5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</row>
    <row r="238" spans="1:31" x14ac:dyDescent="0.2">
      <c r="A238" s="45">
        <v>95</v>
      </c>
      <c r="B238" s="45">
        <v>3</v>
      </c>
      <c r="C238" s="45">
        <v>1</v>
      </c>
      <c r="D238" s="45">
        <v>1</v>
      </c>
      <c r="E238" s="45">
        <v>1</v>
      </c>
      <c r="F238" s="45">
        <v>4</v>
      </c>
      <c r="G238" s="45">
        <v>3</v>
      </c>
      <c r="H238" s="45">
        <v>1</v>
      </c>
      <c r="I238" s="45">
        <v>1</v>
      </c>
      <c r="J238" s="45">
        <v>1</v>
      </c>
      <c r="K238" s="45">
        <v>1</v>
      </c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</row>
    <row r="239" spans="1:31" x14ac:dyDescent="0.2">
      <c r="A239" s="45">
        <v>184</v>
      </c>
      <c r="B239" s="45">
        <v>3</v>
      </c>
      <c r="C239" s="45">
        <v>1</v>
      </c>
      <c r="D239" s="45">
        <v>1</v>
      </c>
      <c r="E239" s="45">
        <v>1</v>
      </c>
      <c r="F239" s="45">
        <v>2</v>
      </c>
      <c r="G239" s="45">
        <v>3</v>
      </c>
      <c r="H239" s="45">
        <v>1</v>
      </c>
      <c r="I239" s="45">
        <v>1</v>
      </c>
      <c r="J239" s="45">
        <v>1</v>
      </c>
      <c r="K239" s="45">
        <v>1</v>
      </c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</row>
    <row r="240" spans="1:31" x14ac:dyDescent="0.2">
      <c r="A240" s="45">
        <v>185</v>
      </c>
      <c r="B240" s="45">
        <v>3</v>
      </c>
      <c r="C240" s="45">
        <v>1</v>
      </c>
      <c r="D240" s="45">
        <v>1</v>
      </c>
      <c r="E240" s="45">
        <v>2</v>
      </c>
      <c r="F240" s="45">
        <v>5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</row>
    <row r="241" spans="1:31" x14ac:dyDescent="0.2">
      <c r="A241" s="45">
        <v>186</v>
      </c>
      <c r="B241" s="45">
        <v>3</v>
      </c>
      <c r="C241" s="45">
        <v>1</v>
      </c>
      <c r="D241" s="45">
        <v>1</v>
      </c>
      <c r="E241" s="45">
        <v>1</v>
      </c>
      <c r="F241" s="45">
        <v>5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</row>
    <row r="242" spans="1:31" x14ac:dyDescent="0.2">
      <c r="A242" s="45">
        <v>187</v>
      </c>
      <c r="B242" s="45">
        <v>3</v>
      </c>
      <c r="C242" s="45">
        <v>1</v>
      </c>
      <c r="D242" s="45">
        <v>1</v>
      </c>
      <c r="E242" s="45">
        <v>1</v>
      </c>
      <c r="F242" s="45">
        <v>3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</row>
    <row r="243" spans="1:31" x14ac:dyDescent="0.2">
      <c r="A243" s="45">
        <v>188</v>
      </c>
      <c r="B243" s="45">
        <v>3</v>
      </c>
      <c r="C243" s="45">
        <v>1</v>
      </c>
      <c r="D243" s="45">
        <v>1</v>
      </c>
      <c r="E243" s="45">
        <v>1</v>
      </c>
      <c r="F243" s="45">
        <v>1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</row>
    <row r="244" spans="1:31" x14ac:dyDescent="0.2">
      <c r="A244" s="45">
        <v>189</v>
      </c>
      <c r="B244" s="45">
        <v>3</v>
      </c>
      <c r="C244" s="45">
        <v>1</v>
      </c>
      <c r="D244" s="45">
        <v>1</v>
      </c>
      <c r="E244" s="45">
        <v>1</v>
      </c>
      <c r="F244" s="45">
        <v>1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</row>
    <row r="245" spans="1:31" x14ac:dyDescent="0.2">
      <c r="A245" s="45">
        <v>190</v>
      </c>
      <c r="B245" s="45">
        <v>3</v>
      </c>
      <c r="C245" s="45">
        <v>1</v>
      </c>
      <c r="D245" s="45">
        <v>1</v>
      </c>
      <c r="E245" s="45">
        <v>1</v>
      </c>
      <c r="F245" s="45">
        <v>2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</row>
    <row r="246" spans="1:31" x14ac:dyDescent="0.2">
      <c r="A246" s="45">
        <v>191</v>
      </c>
      <c r="B246" s="45">
        <v>3</v>
      </c>
      <c r="C246" s="45">
        <v>1</v>
      </c>
      <c r="D246" s="45">
        <v>1</v>
      </c>
      <c r="E246" s="45">
        <v>1</v>
      </c>
      <c r="F246" s="45">
        <v>1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</row>
    <row r="247" spans="1:31" x14ac:dyDescent="0.2">
      <c r="A247" s="45">
        <v>192</v>
      </c>
      <c r="B247" s="45">
        <v>3</v>
      </c>
      <c r="C247" s="45">
        <v>1</v>
      </c>
      <c r="D247" s="45">
        <v>1</v>
      </c>
      <c r="E247" s="45">
        <v>1</v>
      </c>
      <c r="F247" s="45">
        <v>4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</row>
    <row r="248" spans="1:31" x14ac:dyDescent="0.2">
      <c r="A248" s="45">
        <v>193</v>
      </c>
      <c r="B248" s="45">
        <v>3</v>
      </c>
      <c r="C248" s="45">
        <v>1</v>
      </c>
      <c r="D248" s="45">
        <v>1</v>
      </c>
      <c r="E248" s="45">
        <v>1</v>
      </c>
      <c r="F248" s="45">
        <v>5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</row>
    <row r="249" spans="1:31" x14ac:dyDescent="0.2">
      <c r="A249" s="46">
        <v>313</v>
      </c>
      <c r="B249" s="46">
        <v>3</v>
      </c>
      <c r="C249" s="46">
        <v>2</v>
      </c>
      <c r="D249" s="46">
        <v>2</v>
      </c>
      <c r="E249" s="46">
        <v>1</v>
      </c>
      <c r="F249" s="46">
        <v>2</v>
      </c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>
        <v>3</v>
      </c>
      <c r="R249" s="46">
        <v>1</v>
      </c>
      <c r="S249" s="46">
        <v>4</v>
      </c>
      <c r="T249" s="46">
        <v>2</v>
      </c>
      <c r="U249" s="46">
        <v>4</v>
      </c>
      <c r="V249" s="46">
        <v>3</v>
      </c>
      <c r="W249" s="46">
        <v>1</v>
      </c>
      <c r="X249" s="46">
        <v>3</v>
      </c>
      <c r="Y249" s="46">
        <v>2</v>
      </c>
      <c r="Z249" s="46">
        <v>4</v>
      </c>
      <c r="AA249" s="46"/>
      <c r="AB249" s="46"/>
      <c r="AC249" s="46"/>
      <c r="AD249" s="46"/>
      <c r="AE249" s="46"/>
    </row>
    <row r="250" spans="1:31" s="36" customFormat="1" x14ac:dyDescent="0.2"/>
    <row r="251" spans="1:31" x14ac:dyDescent="0.2">
      <c r="A251" s="47">
        <v>219</v>
      </c>
      <c r="B251" s="47">
        <v>1</v>
      </c>
      <c r="C251" s="47">
        <v>2</v>
      </c>
      <c r="D251" s="47">
        <v>3</v>
      </c>
      <c r="E251" s="47">
        <v>2</v>
      </c>
      <c r="F251" s="47">
        <v>5</v>
      </c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x14ac:dyDescent="0.2">
      <c r="A252" s="45">
        <v>306</v>
      </c>
      <c r="B252" s="45">
        <v>3</v>
      </c>
      <c r="C252" s="45">
        <v>1</v>
      </c>
      <c r="D252" s="45">
        <v>2</v>
      </c>
      <c r="E252" s="45">
        <v>3</v>
      </c>
      <c r="F252" s="45">
        <v>3</v>
      </c>
      <c r="G252" s="45">
        <v>3</v>
      </c>
      <c r="H252" s="45">
        <v>1</v>
      </c>
      <c r="I252" s="45">
        <v>4</v>
      </c>
      <c r="J252" s="45">
        <v>3</v>
      </c>
      <c r="K252" s="45">
        <v>3</v>
      </c>
      <c r="L252" s="45"/>
      <c r="M252" s="45"/>
      <c r="N252" s="45"/>
      <c r="O252" s="45"/>
      <c r="P252" s="45"/>
      <c r="Q252" s="45">
        <v>3</v>
      </c>
      <c r="R252" s="45">
        <v>1</v>
      </c>
      <c r="S252" s="45">
        <v>5</v>
      </c>
      <c r="T252" s="45">
        <v>5</v>
      </c>
      <c r="U252" s="45">
        <v>3</v>
      </c>
      <c r="V252" s="45">
        <v>3</v>
      </c>
      <c r="W252" s="45">
        <v>1</v>
      </c>
      <c r="X252" s="45">
        <v>5</v>
      </c>
      <c r="Y252" s="45">
        <v>3</v>
      </c>
      <c r="Z252" s="45">
        <v>3</v>
      </c>
      <c r="AA252" s="45"/>
      <c r="AB252" s="45"/>
      <c r="AC252" s="45"/>
      <c r="AD252" s="45"/>
      <c r="AE252" s="45"/>
    </row>
    <row r="253" spans="1:31" x14ac:dyDescent="0.2">
      <c r="A253" s="45">
        <v>220</v>
      </c>
      <c r="B253" s="45">
        <v>1</v>
      </c>
      <c r="C253" s="45">
        <v>1</v>
      </c>
      <c r="D253" s="45">
        <v>2</v>
      </c>
      <c r="E253" s="45">
        <v>3</v>
      </c>
      <c r="F253" s="45">
        <v>3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>
        <v>1</v>
      </c>
      <c r="W253" s="45">
        <v>1</v>
      </c>
      <c r="X253" s="45">
        <v>4</v>
      </c>
      <c r="Y253" s="45">
        <v>2</v>
      </c>
      <c r="Z253" s="45">
        <v>4</v>
      </c>
      <c r="AA253" s="45">
        <v>1</v>
      </c>
      <c r="AB253" s="45">
        <v>1</v>
      </c>
      <c r="AC253" s="45">
        <v>3</v>
      </c>
      <c r="AD253" s="45">
        <v>2</v>
      </c>
      <c r="AE253" s="45">
        <v>1</v>
      </c>
    </row>
    <row r="254" spans="1:31" x14ac:dyDescent="0.2">
      <c r="A254" s="45">
        <v>307</v>
      </c>
      <c r="B254" s="45">
        <v>3</v>
      </c>
      <c r="C254" s="45">
        <v>2</v>
      </c>
      <c r="D254" s="45">
        <v>2</v>
      </c>
      <c r="E254" s="45">
        <v>2</v>
      </c>
      <c r="F254" s="45">
        <v>3</v>
      </c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</row>
    <row r="255" spans="1:31" x14ac:dyDescent="0.2">
      <c r="A255" s="45">
        <v>268</v>
      </c>
      <c r="B255" s="45">
        <v>3</v>
      </c>
      <c r="C255" s="45">
        <v>2</v>
      </c>
      <c r="D255" s="45">
        <v>3</v>
      </c>
      <c r="E255" s="45">
        <v>3</v>
      </c>
      <c r="F255" s="45">
        <v>3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</row>
    <row r="256" spans="1:31" x14ac:dyDescent="0.2">
      <c r="A256" s="45">
        <v>221</v>
      </c>
      <c r="B256" s="45">
        <v>1</v>
      </c>
      <c r="C256" s="45">
        <v>1</v>
      </c>
      <c r="D256" s="45">
        <v>4</v>
      </c>
      <c r="E256" s="45">
        <v>4</v>
      </c>
      <c r="F256" s="45">
        <v>2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</row>
    <row r="257" spans="1:31" x14ac:dyDescent="0.2">
      <c r="A257" s="45">
        <v>222</v>
      </c>
      <c r="B257" s="45">
        <v>2</v>
      </c>
      <c r="C257" s="45">
        <v>2</v>
      </c>
      <c r="D257" s="45">
        <v>1</v>
      </c>
      <c r="E257" s="45">
        <v>1</v>
      </c>
      <c r="F257" s="45">
        <v>4</v>
      </c>
      <c r="G257" s="45"/>
      <c r="H257" s="45"/>
      <c r="I257" s="45"/>
      <c r="J257" s="45"/>
      <c r="K257" s="45"/>
      <c r="L257" s="45">
        <v>2</v>
      </c>
      <c r="M257" s="45">
        <v>1</v>
      </c>
      <c r="N257" s="45">
        <v>4</v>
      </c>
      <c r="O257" s="45">
        <v>3</v>
      </c>
      <c r="P257" s="45">
        <v>2</v>
      </c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</row>
    <row r="258" spans="1:31" x14ac:dyDescent="0.2">
      <c r="A258" s="45">
        <v>223</v>
      </c>
      <c r="B258" s="45">
        <v>2</v>
      </c>
      <c r="C258" s="45">
        <v>5</v>
      </c>
      <c r="D258" s="45">
        <v>1</v>
      </c>
      <c r="E258" s="45">
        <v>2</v>
      </c>
      <c r="F258" s="45">
        <v>2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>
        <v>2</v>
      </c>
      <c r="R258" s="45">
        <v>2</v>
      </c>
      <c r="S258" s="45">
        <v>5</v>
      </c>
      <c r="T258" s="45">
        <v>5</v>
      </c>
      <c r="U258" s="45">
        <v>4</v>
      </c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</row>
    <row r="259" spans="1:31" x14ac:dyDescent="0.2">
      <c r="A259" s="45">
        <v>224</v>
      </c>
      <c r="B259" s="45">
        <v>3</v>
      </c>
      <c r="C259" s="45">
        <v>1</v>
      </c>
      <c r="D259" s="45">
        <v>5</v>
      </c>
      <c r="E259" s="45">
        <v>2</v>
      </c>
      <c r="F259" s="45">
        <v>4</v>
      </c>
      <c r="G259" s="45">
        <v>3</v>
      </c>
      <c r="H259" s="45">
        <v>1</v>
      </c>
      <c r="I259" s="45">
        <v>5</v>
      </c>
      <c r="J259" s="45">
        <v>4</v>
      </c>
      <c r="K259" s="45">
        <v>4</v>
      </c>
      <c r="L259" s="45"/>
      <c r="M259" s="45"/>
      <c r="N259" s="45"/>
      <c r="O259" s="45"/>
      <c r="P259" s="45"/>
      <c r="Q259" s="45">
        <v>3</v>
      </c>
      <c r="R259" s="45">
        <v>1</v>
      </c>
      <c r="S259" s="45">
        <v>5</v>
      </c>
      <c r="T259" s="45">
        <v>4</v>
      </c>
      <c r="U259" s="45">
        <v>4</v>
      </c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</row>
    <row r="260" spans="1:31" x14ac:dyDescent="0.2">
      <c r="A260" s="45">
        <v>225</v>
      </c>
      <c r="B260" s="45">
        <v>3</v>
      </c>
      <c r="C260" s="45">
        <v>1</v>
      </c>
      <c r="D260" s="45">
        <v>3</v>
      </c>
      <c r="E260" s="45">
        <v>3</v>
      </c>
      <c r="F260" s="45">
        <v>3</v>
      </c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</row>
    <row r="261" spans="1:31" x14ac:dyDescent="0.2">
      <c r="A261" s="45">
        <v>308</v>
      </c>
      <c r="B261" s="45">
        <v>3</v>
      </c>
      <c r="C261" s="45">
        <v>1</v>
      </c>
      <c r="D261" s="45">
        <v>2</v>
      </c>
      <c r="E261" s="45">
        <v>3</v>
      </c>
      <c r="F261" s="45">
        <v>4</v>
      </c>
      <c r="G261" s="45">
        <v>3</v>
      </c>
      <c r="H261" s="45">
        <v>1</v>
      </c>
      <c r="I261" s="45">
        <v>3</v>
      </c>
      <c r="J261" s="45">
        <v>3</v>
      </c>
      <c r="K261" s="45">
        <v>4</v>
      </c>
      <c r="L261" s="45"/>
      <c r="M261" s="45"/>
      <c r="N261" s="45"/>
      <c r="O261" s="45"/>
      <c r="P261" s="45"/>
      <c r="Q261" s="45">
        <v>3</v>
      </c>
      <c r="R261" s="45">
        <v>1</v>
      </c>
      <c r="S261" s="45">
        <v>5</v>
      </c>
      <c r="T261" s="45">
        <v>3</v>
      </c>
      <c r="U261" s="45">
        <v>4</v>
      </c>
      <c r="V261" s="45">
        <v>3</v>
      </c>
      <c r="W261" s="45">
        <v>1</v>
      </c>
      <c r="X261" s="45">
        <v>4</v>
      </c>
      <c r="Y261" s="45">
        <v>3</v>
      </c>
      <c r="Z261" s="45">
        <v>4</v>
      </c>
      <c r="AA261" s="45"/>
      <c r="AB261" s="45"/>
      <c r="AC261" s="45"/>
      <c r="AD261" s="45"/>
      <c r="AE261" s="45"/>
    </row>
    <row r="262" spans="1:31" x14ac:dyDescent="0.2">
      <c r="A262" s="45">
        <v>309</v>
      </c>
      <c r="B262" s="45">
        <v>3</v>
      </c>
      <c r="C262" s="45">
        <v>2</v>
      </c>
      <c r="D262" s="45">
        <v>2</v>
      </c>
      <c r="E262" s="45">
        <v>2</v>
      </c>
      <c r="F262" s="45">
        <v>2</v>
      </c>
      <c r="G262" s="45">
        <v>3</v>
      </c>
      <c r="H262" s="45">
        <v>1</v>
      </c>
      <c r="I262" s="45">
        <v>3</v>
      </c>
      <c r="J262" s="45">
        <v>3</v>
      </c>
      <c r="K262" s="45">
        <v>4</v>
      </c>
      <c r="L262" s="45"/>
      <c r="M262" s="45"/>
      <c r="N262" s="45"/>
      <c r="O262" s="45"/>
      <c r="P262" s="45"/>
      <c r="Q262" s="45">
        <v>3</v>
      </c>
      <c r="R262" s="45">
        <v>1</v>
      </c>
      <c r="S262" s="45">
        <v>5</v>
      </c>
      <c r="T262" s="45">
        <v>4</v>
      </c>
      <c r="U262" s="45">
        <v>4</v>
      </c>
      <c r="V262" s="45">
        <v>3</v>
      </c>
      <c r="W262" s="45">
        <v>1</v>
      </c>
      <c r="X262" s="45">
        <v>4</v>
      </c>
      <c r="Y262" s="45">
        <v>3</v>
      </c>
      <c r="Z262" s="45">
        <v>4</v>
      </c>
      <c r="AA262" s="45"/>
      <c r="AB262" s="45"/>
      <c r="AC262" s="45"/>
      <c r="AD262" s="45"/>
      <c r="AE262" s="45"/>
    </row>
    <row r="263" spans="1:31" x14ac:dyDescent="0.2">
      <c r="A263" s="45">
        <v>310</v>
      </c>
      <c r="B263" s="45">
        <v>3</v>
      </c>
      <c r="C263" s="45">
        <v>2</v>
      </c>
      <c r="D263" s="45">
        <v>3</v>
      </c>
      <c r="E263" s="45">
        <v>3</v>
      </c>
      <c r="F263" s="45">
        <v>4</v>
      </c>
      <c r="G263" s="45">
        <v>3</v>
      </c>
      <c r="H263" s="45">
        <v>1</v>
      </c>
      <c r="I263" s="45">
        <v>3</v>
      </c>
      <c r="J263" s="45">
        <v>3</v>
      </c>
      <c r="K263" s="45">
        <v>4</v>
      </c>
      <c r="L263" s="45"/>
      <c r="M263" s="45"/>
      <c r="N263" s="45"/>
      <c r="O263" s="45"/>
      <c r="P263" s="45"/>
      <c r="Q263" s="45">
        <v>3</v>
      </c>
      <c r="R263" s="45">
        <v>1</v>
      </c>
      <c r="S263" s="45">
        <v>4</v>
      </c>
      <c r="T263" s="45">
        <v>4</v>
      </c>
      <c r="U263" s="45">
        <v>4</v>
      </c>
      <c r="V263" s="45">
        <v>3</v>
      </c>
      <c r="W263" s="45">
        <v>1</v>
      </c>
      <c r="X263" s="45">
        <v>4</v>
      </c>
      <c r="Y263" s="45">
        <v>3</v>
      </c>
      <c r="Z263" s="45">
        <v>4</v>
      </c>
      <c r="AA263" s="45"/>
      <c r="AB263" s="45"/>
      <c r="AC263" s="45"/>
      <c r="AD263" s="45"/>
      <c r="AE263" s="45"/>
    </row>
    <row r="264" spans="1:31" x14ac:dyDescent="0.2">
      <c r="A264" s="45">
        <v>311</v>
      </c>
      <c r="B264" s="45">
        <v>3</v>
      </c>
      <c r="C264" s="45">
        <v>2</v>
      </c>
      <c r="D264" s="45">
        <v>1</v>
      </c>
      <c r="E264" s="45">
        <v>1</v>
      </c>
      <c r="F264" s="45">
        <v>1</v>
      </c>
      <c r="G264" s="45">
        <v>3</v>
      </c>
      <c r="H264" s="45">
        <v>1</v>
      </c>
      <c r="I264" s="45">
        <v>2</v>
      </c>
      <c r="J264" s="45">
        <v>2</v>
      </c>
      <c r="K264" s="45">
        <v>2</v>
      </c>
      <c r="L264" s="45"/>
      <c r="M264" s="45"/>
      <c r="N264" s="45"/>
      <c r="O264" s="45"/>
      <c r="P264" s="45"/>
      <c r="Q264" s="45">
        <v>3</v>
      </c>
      <c r="R264" s="45">
        <v>1</v>
      </c>
      <c r="S264" s="45">
        <v>4</v>
      </c>
      <c r="T264" s="45">
        <v>4</v>
      </c>
      <c r="U264" s="45">
        <v>4</v>
      </c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</row>
    <row r="265" spans="1:31" x14ac:dyDescent="0.2">
      <c r="A265" s="46">
        <v>312</v>
      </c>
      <c r="B265" s="46">
        <v>3</v>
      </c>
      <c r="C265" s="46">
        <v>1</v>
      </c>
      <c r="D265" s="46">
        <v>1</v>
      </c>
      <c r="E265" s="46">
        <v>1</v>
      </c>
      <c r="F265" s="46">
        <v>3</v>
      </c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>
        <v>3</v>
      </c>
      <c r="R265" s="46">
        <v>1</v>
      </c>
      <c r="S265" s="46">
        <v>5</v>
      </c>
      <c r="T265" s="46">
        <v>4</v>
      </c>
      <c r="U265" s="46">
        <v>4</v>
      </c>
      <c r="V265" s="46">
        <v>3</v>
      </c>
      <c r="W265" s="46">
        <v>1</v>
      </c>
      <c r="X265" s="46">
        <v>4</v>
      </c>
      <c r="Y265" s="46">
        <v>4</v>
      </c>
      <c r="Z265" s="46">
        <v>4</v>
      </c>
      <c r="AA265" s="46"/>
      <c r="AB265" s="46"/>
      <c r="AC265" s="46"/>
      <c r="AD265" s="46"/>
      <c r="AE265" s="46"/>
    </row>
    <row r="266" spans="1:31" s="36" customFormat="1" x14ac:dyDescent="0.2"/>
    <row r="267" spans="1:31" x14ac:dyDescent="0.2">
      <c r="A267" s="47">
        <v>194</v>
      </c>
      <c r="B267" s="47">
        <v>3</v>
      </c>
      <c r="C267" s="47">
        <v>1</v>
      </c>
      <c r="D267" s="47">
        <v>1</v>
      </c>
      <c r="E267" s="47">
        <v>1</v>
      </c>
      <c r="F267" s="47">
        <v>1</v>
      </c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x14ac:dyDescent="0.2">
      <c r="A268" s="45">
        <v>195</v>
      </c>
      <c r="B268" s="45">
        <v>3</v>
      </c>
      <c r="C268" s="45">
        <v>1</v>
      </c>
      <c r="D268" s="45">
        <v>1</v>
      </c>
      <c r="E268" s="45">
        <v>1</v>
      </c>
      <c r="F268" s="45">
        <v>1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</row>
    <row r="269" spans="1:31" x14ac:dyDescent="0.2">
      <c r="A269" s="45">
        <v>181</v>
      </c>
      <c r="B269" s="45">
        <v>3</v>
      </c>
      <c r="C269" s="45">
        <v>1</v>
      </c>
      <c r="D269" s="45">
        <v>1</v>
      </c>
      <c r="E269" s="45">
        <v>2</v>
      </c>
      <c r="F269" s="45">
        <v>3</v>
      </c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</row>
    <row r="270" spans="1:31" x14ac:dyDescent="0.2">
      <c r="A270" s="45">
        <v>183</v>
      </c>
      <c r="B270" s="45">
        <v>3</v>
      </c>
      <c r="C270" s="45">
        <v>1</v>
      </c>
      <c r="D270" s="45">
        <v>1</v>
      </c>
      <c r="E270" s="45">
        <v>1</v>
      </c>
      <c r="F270" s="45">
        <v>2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</row>
    <row r="271" spans="1:31" x14ac:dyDescent="0.2">
      <c r="A271" s="45">
        <v>180</v>
      </c>
      <c r="B271" s="45">
        <v>3</v>
      </c>
      <c r="C271" s="45">
        <v>1</v>
      </c>
      <c r="D271" s="45">
        <v>1</v>
      </c>
      <c r="E271" s="45">
        <v>1</v>
      </c>
      <c r="F271" s="45">
        <v>3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</row>
    <row r="272" spans="1:31" x14ac:dyDescent="0.2">
      <c r="A272" s="45">
        <v>178</v>
      </c>
      <c r="B272" s="45">
        <v>2</v>
      </c>
      <c r="C272" s="45">
        <v>1</v>
      </c>
      <c r="D272" s="45">
        <v>1</v>
      </c>
      <c r="E272" s="45">
        <v>4</v>
      </c>
      <c r="F272" s="45">
        <v>5</v>
      </c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</row>
    <row r="273" spans="1:31" x14ac:dyDescent="0.2">
      <c r="A273" s="45">
        <v>179</v>
      </c>
      <c r="B273" s="45">
        <v>3</v>
      </c>
      <c r="C273" s="45">
        <v>1</v>
      </c>
      <c r="D273" s="45">
        <v>1</v>
      </c>
      <c r="E273" s="45">
        <v>1</v>
      </c>
      <c r="F273" s="45">
        <v>1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</row>
    <row r="274" spans="1:31" x14ac:dyDescent="0.2">
      <c r="A274" s="45">
        <v>182</v>
      </c>
      <c r="B274" s="45">
        <v>3</v>
      </c>
      <c r="C274" s="45">
        <v>1</v>
      </c>
      <c r="D274" s="45">
        <v>1</v>
      </c>
      <c r="E274" s="45">
        <v>1</v>
      </c>
      <c r="F274" s="45">
        <v>3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</row>
    <row r="275" spans="1:31" x14ac:dyDescent="0.2">
      <c r="A275" s="45">
        <v>79</v>
      </c>
      <c r="B275" s="45">
        <v>3</v>
      </c>
      <c r="C275" s="45">
        <v>2</v>
      </c>
      <c r="D275" s="45">
        <v>2</v>
      </c>
      <c r="E275" s="45">
        <v>2</v>
      </c>
      <c r="F275" s="45">
        <v>4</v>
      </c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</row>
    <row r="276" spans="1:31" x14ac:dyDescent="0.2">
      <c r="A276" s="45">
        <v>80</v>
      </c>
      <c r="B276" s="45">
        <v>3</v>
      </c>
      <c r="C276" s="45">
        <v>2</v>
      </c>
      <c r="D276" s="45">
        <v>2</v>
      </c>
      <c r="E276" s="45">
        <v>2</v>
      </c>
      <c r="F276" s="45">
        <v>4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</row>
    <row r="277" spans="1:31" x14ac:dyDescent="0.2">
      <c r="A277" s="45">
        <v>77</v>
      </c>
      <c r="B277" s="45">
        <v>3</v>
      </c>
      <c r="C277" s="45">
        <v>2</v>
      </c>
      <c r="D277" s="45">
        <v>2</v>
      </c>
      <c r="E277" s="45">
        <v>2</v>
      </c>
      <c r="F277" s="45">
        <v>4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</row>
    <row r="278" spans="1:31" x14ac:dyDescent="0.2">
      <c r="A278" s="45">
        <v>78</v>
      </c>
      <c r="B278" s="45">
        <v>3</v>
      </c>
      <c r="C278" s="45">
        <v>2</v>
      </c>
      <c r="D278" s="45">
        <v>2</v>
      </c>
      <c r="E278" s="45">
        <v>2</v>
      </c>
      <c r="F278" s="45">
        <v>5</v>
      </c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</row>
    <row r="279" spans="1:31" x14ac:dyDescent="0.2">
      <c r="A279" s="45">
        <v>76</v>
      </c>
      <c r="B279" s="45">
        <v>3</v>
      </c>
      <c r="C279" s="45">
        <v>2</v>
      </c>
      <c r="D279" s="45">
        <v>3</v>
      </c>
      <c r="E279" s="45">
        <v>4</v>
      </c>
      <c r="F279" s="45">
        <v>4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</row>
    <row r="280" spans="1:31" s="35" customFormat="1" x14ac:dyDescent="0.2">
      <c r="A280" s="44">
        <v>94</v>
      </c>
      <c r="B280" s="44">
        <v>3</v>
      </c>
      <c r="C280" s="44">
        <v>2</v>
      </c>
      <c r="D280" s="44">
        <v>3</v>
      </c>
      <c r="E280" s="44">
        <v>2</v>
      </c>
      <c r="F280" s="44">
        <v>5</v>
      </c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</row>
    <row r="281" spans="1:31" x14ac:dyDescent="0.2">
      <c r="A281" s="46">
        <v>93</v>
      </c>
      <c r="B281" s="46">
        <v>3</v>
      </c>
      <c r="C281" s="46">
        <v>2</v>
      </c>
      <c r="D281" s="46">
        <v>3</v>
      </c>
      <c r="E281" s="46">
        <v>4</v>
      </c>
      <c r="F281" s="46">
        <v>5</v>
      </c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</row>
    <row r="282" spans="1:31" s="36" customFormat="1" x14ac:dyDescent="0.2"/>
  </sheetData>
  <mergeCells count="25">
    <mergeCell ref="AC2:AE2"/>
    <mergeCell ref="B1:F1"/>
    <mergeCell ref="G1:K1"/>
    <mergeCell ref="L1:P1"/>
    <mergeCell ref="Q1:U1"/>
    <mergeCell ref="V1:Z1"/>
    <mergeCell ref="AA1:AE1"/>
    <mergeCell ref="D2:F2"/>
    <mergeCell ref="I2:K2"/>
    <mergeCell ref="N2:P2"/>
    <mergeCell ref="S2:U2"/>
    <mergeCell ref="X2:Z2"/>
    <mergeCell ref="Q2:Q3"/>
    <mergeCell ref="R2:R3"/>
    <mergeCell ref="V2:V3"/>
    <mergeCell ref="W2:W3"/>
    <mergeCell ref="AA2:AA3"/>
    <mergeCell ref="AB2:AB3"/>
    <mergeCell ref="A1:A3"/>
    <mergeCell ref="B2:B3"/>
    <mergeCell ref="L2:L3"/>
    <mergeCell ref="M2:M3"/>
    <mergeCell ref="C2:C3"/>
    <mergeCell ref="G2:G3"/>
    <mergeCell ref="H2:H3"/>
  </mergeCells>
  <pageMargins left="0.25" right="0.25" top="0.75" bottom="0.75" header="0.3" footer="0.3"/>
  <pageSetup paperSize="8" fitToWidth="0" fitToHeight="0" orientation="landscape" r:id="rId1"/>
  <headerFooter>
    <oddHeader>&amp;C&amp;"Century,Regular"&amp;10Annexure 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view="pageLayout" zoomScaleNormal="100" workbookViewId="0">
      <selection activeCell="F256" sqref="F256:F258"/>
    </sheetView>
  </sheetViews>
  <sheetFormatPr defaultRowHeight="15" x14ac:dyDescent="0.25"/>
  <cols>
    <col min="1" max="1" width="13.140625" customWidth="1"/>
    <col min="2" max="2" width="10" customWidth="1"/>
    <col min="3" max="3" width="12.28515625" customWidth="1"/>
    <col min="4" max="4" width="10.5703125" customWidth="1"/>
    <col min="5" max="5" width="10" customWidth="1"/>
    <col min="6" max="6" width="10.85546875" customWidth="1"/>
    <col min="8" max="8" width="9.140625" style="5" customWidth="1"/>
    <col min="9" max="14" width="9.140625" style="5"/>
  </cols>
  <sheetData>
    <row r="1" spans="1:7" ht="48.75" customHeight="1" x14ac:dyDescent="0.25">
      <c r="A1" s="37" t="s">
        <v>3</v>
      </c>
      <c r="B1" s="38" t="s">
        <v>48</v>
      </c>
      <c r="C1" s="38" t="s">
        <v>49</v>
      </c>
      <c r="D1" s="38" t="s">
        <v>50</v>
      </c>
      <c r="E1" s="38" t="s">
        <v>51</v>
      </c>
      <c r="F1" s="38" t="s">
        <v>52</v>
      </c>
      <c r="G1" s="38" t="s">
        <v>30</v>
      </c>
    </row>
    <row r="2" spans="1:7" s="5" customFormat="1" x14ac:dyDescent="0.25">
      <c r="A2" s="6">
        <v>206</v>
      </c>
      <c r="B2" s="6">
        <v>2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s="5" customFormat="1" x14ac:dyDescent="0.25">
      <c r="A3" s="6">
        <v>207</v>
      </c>
      <c r="B3" s="6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s="5" customFormat="1" x14ac:dyDescent="0.25">
      <c r="A4" s="6" t="s">
        <v>74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16000</v>
      </c>
    </row>
    <row r="5" spans="1:7" s="5" customFormat="1" x14ac:dyDescent="0.25">
      <c r="A5" s="6">
        <v>303</v>
      </c>
      <c r="B5" s="6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s="5" customFormat="1" x14ac:dyDescent="0.25">
      <c r="A6" s="6">
        <v>304</v>
      </c>
      <c r="B6" s="6">
        <v>1</v>
      </c>
      <c r="C6" s="6">
        <v>3000</v>
      </c>
      <c r="D6" s="6">
        <v>0</v>
      </c>
      <c r="E6" s="6">
        <v>0</v>
      </c>
      <c r="F6" s="6">
        <v>0</v>
      </c>
      <c r="G6" s="6">
        <v>0</v>
      </c>
    </row>
    <row r="7" spans="1:7" s="5" customFormat="1" x14ac:dyDescent="0.25">
      <c r="A7" s="6">
        <v>305</v>
      </c>
      <c r="B7" s="6">
        <v>2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s="5" customFormat="1" x14ac:dyDescent="0.25">
      <c r="A8" s="6">
        <v>258</v>
      </c>
      <c r="B8" s="6">
        <v>1</v>
      </c>
      <c r="C8" s="6">
        <v>0</v>
      </c>
      <c r="D8" s="6">
        <v>0</v>
      </c>
      <c r="E8" s="6">
        <v>700</v>
      </c>
      <c r="F8" s="6">
        <v>0</v>
      </c>
      <c r="G8" s="6">
        <v>0</v>
      </c>
    </row>
    <row r="9" spans="1:7" s="5" customFormat="1" x14ac:dyDescent="0.25">
      <c r="A9" s="6">
        <v>259</v>
      </c>
      <c r="B9" s="6">
        <v>1</v>
      </c>
      <c r="C9" s="6">
        <v>35000</v>
      </c>
      <c r="D9" s="6">
        <v>0</v>
      </c>
      <c r="E9" s="6">
        <v>0</v>
      </c>
      <c r="F9" s="6">
        <v>0</v>
      </c>
      <c r="G9" s="6">
        <v>0</v>
      </c>
    </row>
    <row r="10" spans="1:7" s="5" customFormat="1" x14ac:dyDescent="0.25">
      <c r="A10" s="6">
        <v>26</v>
      </c>
      <c r="B10" s="6">
        <v>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s="5" customFormat="1" x14ac:dyDescent="0.25">
      <c r="A11" s="6">
        <v>29</v>
      </c>
      <c r="B11" s="6">
        <v>1</v>
      </c>
      <c r="C11" s="6">
        <v>13300</v>
      </c>
      <c r="D11" s="6">
        <v>0</v>
      </c>
      <c r="E11" s="6">
        <v>0</v>
      </c>
      <c r="F11" s="6">
        <v>0</v>
      </c>
      <c r="G11" s="6">
        <v>0</v>
      </c>
    </row>
    <row r="12" spans="1:7" s="5" customFormat="1" x14ac:dyDescent="0.25">
      <c r="A12" s="6">
        <v>127</v>
      </c>
      <c r="B12" s="6">
        <v>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s="5" customFormat="1" x14ac:dyDescent="0.25">
      <c r="A13" s="6">
        <v>128</v>
      </c>
      <c r="B13" s="6">
        <v>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s="5" customFormat="1" x14ac:dyDescent="0.25">
      <c r="A14" s="6">
        <v>126</v>
      </c>
      <c r="B14" s="6">
        <v>1</v>
      </c>
      <c r="C14" s="6">
        <v>3000</v>
      </c>
      <c r="D14" s="6">
        <v>0</v>
      </c>
      <c r="E14" s="6">
        <v>0</v>
      </c>
      <c r="F14" s="6">
        <v>0</v>
      </c>
      <c r="G14" s="6">
        <v>0</v>
      </c>
    </row>
    <row r="15" spans="1:7" s="5" customFormat="1" x14ac:dyDescent="0.25">
      <c r="A15" s="6">
        <v>129</v>
      </c>
      <c r="B15" s="6">
        <v>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s="5" customFormat="1" x14ac:dyDescent="0.25">
      <c r="A16" s="7">
        <v>25</v>
      </c>
      <c r="B16" s="7">
        <v>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</row>
    <row r="17" spans="1:14" s="4" customFormat="1" x14ac:dyDescent="0.25">
      <c r="H17" s="3"/>
      <c r="I17" s="3"/>
      <c r="J17" s="3"/>
      <c r="K17" s="3"/>
      <c r="L17" s="3"/>
      <c r="M17" s="3"/>
      <c r="N17" s="3"/>
    </row>
    <row r="18" spans="1:14" x14ac:dyDescent="0.25">
      <c r="A18" s="10">
        <v>110</v>
      </c>
      <c r="B18" s="10">
        <v>2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</row>
    <row r="19" spans="1:14" x14ac:dyDescent="0.25">
      <c r="A19" s="8">
        <v>111</v>
      </c>
      <c r="B19" s="8">
        <v>1</v>
      </c>
      <c r="C19" s="8">
        <v>34000</v>
      </c>
      <c r="D19" s="6">
        <v>0</v>
      </c>
      <c r="E19" s="6">
        <v>0</v>
      </c>
      <c r="F19" s="6">
        <v>0</v>
      </c>
      <c r="G19" s="6">
        <v>0</v>
      </c>
    </row>
    <row r="20" spans="1:14" x14ac:dyDescent="0.25">
      <c r="A20" s="8">
        <v>112</v>
      </c>
      <c r="B20" s="8">
        <v>1</v>
      </c>
      <c r="C20" s="8">
        <v>17200</v>
      </c>
      <c r="D20" s="6">
        <v>0</v>
      </c>
      <c r="E20" s="6">
        <v>0</v>
      </c>
      <c r="F20" s="6">
        <v>0</v>
      </c>
      <c r="G20" s="6">
        <v>0</v>
      </c>
    </row>
    <row r="21" spans="1:14" x14ac:dyDescent="0.25">
      <c r="A21" s="8">
        <v>113</v>
      </c>
      <c r="B21" s="8">
        <v>2</v>
      </c>
      <c r="C21" s="8">
        <v>0</v>
      </c>
      <c r="D21" s="6">
        <v>0</v>
      </c>
      <c r="E21" s="6">
        <v>0</v>
      </c>
      <c r="F21" s="6">
        <v>0</v>
      </c>
      <c r="G21" s="6">
        <v>0</v>
      </c>
    </row>
    <row r="22" spans="1:14" x14ac:dyDescent="0.25">
      <c r="A22" s="8">
        <v>114</v>
      </c>
      <c r="B22" s="8">
        <v>2</v>
      </c>
      <c r="C22" s="8">
        <v>0</v>
      </c>
      <c r="D22" s="6">
        <v>0</v>
      </c>
      <c r="E22" s="6">
        <v>0</v>
      </c>
      <c r="F22" s="6">
        <v>0</v>
      </c>
      <c r="G22" s="6">
        <v>0</v>
      </c>
    </row>
    <row r="23" spans="1:14" x14ac:dyDescent="0.25">
      <c r="A23" s="8">
        <v>115</v>
      </c>
      <c r="B23" s="8">
        <v>2</v>
      </c>
      <c r="C23" s="8">
        <v>0</v>
      </c>
      <c r="D23" s="6">
        <v>0</v>
      </c>
      <c r="E23" s="6">
        <v>0</v>
      </c>
      <c r="F23" s="6">
        <v>0</v>
      </c>
      <c r="G23" s="6">
        <v>0</v>
      </c>
    </row>
    <row r="24" spans="1:14" x14ac:dyDescent="0.25">
      <c r="A24" s="8">
        <v>116</v>
      </c>
      <c r="B24" s="8">
        <v>1</v>
      </c>
      <c r="C24" s="8">
        <v>53000</v>
      </c>
      <c r="D24" s="6">
        <v>0</v>
      </c>
      <c r="E24" s="6">
        <v>0</v>
      </c>
      <c r="F24" s="6">
        <v>0</v>
      </c>
      <c r="G24" s="6">
        <v>0</v>
      </c>
    </row>
    <row r="25" spans="1:14" x14ac:dyDescent="0.25">
      <c r="A25" s="8">
        <v>117</v>
      </c>
      <c r="B25" s="8">
        <v>1</v>
      </c>
      <c r="C25" s="8">
        <v>35000</v>
      </c>
      <c r="D25" s="6">
        <v>0</v>
      </c>
      <c r="E25" s="6">
        <v>0</v>
      </c>
      <c r="F25" s="6">
        <v>0</v>
      </c>
      <c r="G25" s="6">
        <v>0</v>
      </c>
    </row>
    <row r="26" spans="1:14" x14ac:dyDescent="0.25">
      <c r="A26" s="8">
        <v>118</v>
      </c>
      <c r="B26" s="8">
        <v>2</v>
      </c>
      <c r="C26" s="8">
        <v>0</v>
      </c>
      <c r="D26" s="6">
        <v>0</v>
      </c>
      <c r="E26" s="6">
        <v>0</v>
      </c>
      <c r="F26" s="6">
        <v>0</v>
      </c>
      <c r="G26" s="6">
        <v>0</v>
      </c>
    </row>
    <row r="27" spans="1:14" x14ac:dyDescent="0.25">
      <c r="A27" s="8">
        <v>119</v>
      </c>
      <c r="B27" s="8">
        <v>2</v>
      </c>
      <c r="C27" s="8">
        <v>0</v>
      </c>
      <c r="D27" s="6">
        <v>0</v>
      </c>
      <c r="E27" s="6">
        <v>0</v>
      </c>
      <c r="F27" s="6">
        <v>0</v>
      </c>
      <c r="G27" s="6">
        <v>0</v>
      </c>
    </row>
    <row r="28" spans="1:14" x14ac:dyDescent="0.25">
      <c r="A28" s="8">
        <v>120</v>
      </c>
      <c r="B28" s="8">
        <v>2</v>
      </c>
      <c r="C28" s="8">
        <v>0</v>
      </c>
      <c r="D28" s="6">
        <v>0</v>
      </c>
      <c r="E28" s="6">
        <v>0</v>
      </c>
      <c r="F28" s="6">
        <v>0</v>
      </c>
      <c r="G28" s="6">
        <v>0</v>
      </c>
    </row>
    <row r="29" spans="1:14" x14ac:dyDescent="0.25">
      <c r="A29" s="8">
        <v>121</v>
      </c>
      <c r="B29" s="8">
        <v>2</v>
      </c>
      <c r="C29" s="8">
        <v>0</v>
      </c>
      <c r="D29" s="6">
        <v>0</v>
      </c>
      <c r="E29" s="6">
        <v>0</v>
      </c>
      <c r="F29" s="6">
        <v>0</v>
      </c>
      <c r="G29" s="6">
        <v>0</v>
      </c>
    </row>
    <row r="30" spans="1:14" x14ac:dyDescent="0.25">
      <c r="A30" s="8">
        <v>122</v>
      </c>
      <c r="B30" s="8">
        <v>2</v>
      </c>
      <c r="C30" s="8">
        <v>0</v>
      </c>
      <c r="D30" s="6">
        <v>0</v>
      </c>
      <c r="E30" s="6">
        <v>0</v>
      </c>
      <c r="F30" s="6">
        <v>0</v>
      </c>
      <c r="G30" s="6">
        <v>0</v>
      </c>
    </row>
    <row r="31" spans="1:14" x14ac:dyDescent="0.25">
      <c r="A31" s="8">
        <v>123</v>
      </c>
      <c r="B31" s="8">
        <v>2</v>
      </c>
      <c r="C31" s="8">
        <v>0</v>
      </c>
      <c r="D31" s="6">
        <v>0</v>
      </c>
      <c r="E31" s="6">
        <v>0</v>
      </c>
      <c r="F31" s="6">
        <v>0</v>
      </c>
      <c r="G31" s="6">
        <v>0</v>
      </c>
    </row>
    <row r="32" spans="1:14" x14ac:dyDescent="0.25">
      <c r="A32" s="8">
        <v>124</v>
      </c>
      <c r="B32" s="8">
        <v>1</v>
      </c>
      <c r="C32" s="8">
        <v>25000</v>
      </c>
      <c r="D32" s="6">
        <v>0</v>
      </c>
      <c r="E32" s="6">
        <v>0</v>
      </c>
      <c r="F32" s="6">
        <v>0</v>
      </c>
      <c r="G32" s="6">
        <v>0</v>
      </c>
    </row>
    <row r="33" spans="1:7" x14ac:dyDescent="0.25">
      <c r="A33" s="8">
        <v>125</v>
      </c>
      <c r="B33" s="8">
        <v>1</v>
      </c>
      <c r="C33" s="8">
        <v>5000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25">
      <c r="A34" s="8">
        <v>10</v>
      </c>
      <c r="B34" s="8">
        <v>2</v>
      </c>
      <c r="C34" s="8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5">
      <c r="A35" s="8">
        <v>11</v>
      </c>
      <c r="B35" s="8">
        <v>2</v>
      </c>
      <c r="C35" s="8">
        <v>0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5">
      <c r="A36" s="8">
        <v>12</v>
      </c>
      <c r="B36" s="8">
        <v>2</v>
      </c>
      <c r="C36" s="8">
        <v>0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5">
      <c r="A37" s="8">
        <v>13</v>
      </c>
      <c r="B37" s="8">
        <v>2</v>
      </c>
      <c r="C37" s="8">
        <v>0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5">
      <c r="A38" s="8">
        <v>14</v>
      </c>
      <c r="B38" s="8">
        <v>1</v>
      </c>
      <c r="C38" s="8">
        <v>5000</v>
      </c>
      <c r="D38" s="6">
        <v>0</v>
      </c>
      <c r="E38" s="6">
        <v>0</v>
      </c>
      <c r="F38" s="6">
        <v>0</v>
      </c>
      <c r="G38" s="6">
        <v>0</v>
      </c>
    </row>
    <row r="39" spans="1:7" x14ac:dyDescent="0.25">
      <c r="A39" s="8">
        <v>15</v>
      </c>
      <c r="B39" s="8">
        <v>2</v>
      </c>
      <c r="C39" s="8">
        <v>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25">
      <c r="A40" s="8">
        <v>16</v>
      </c>
      <c r="B40" s="8">
        <v>2</v>
      </c>
      <c r="C40" s="8">
        <v>0</v>
      </c>
      <c r="D40" s="6">
        <v>0</v>
      </c>
      <c r="E40" s="6">
        <v>0</v>
      </c>
      <c r="F40" s="6">
        <v>0</v>
      </c>
      <c r="G40" s="6">
        <v>0</v>
      </c>
    </row>
    <row r="41" spans="1:7" x14ac:dyDescent="0.25">
      <c r="A41" s="8">
        <v>17</v>
      </c>
      <c r="B41" s="8">
        <v>2</v>
      </c>
      <c r="C41" s="8">
        <v>0</v>
      </c>
      <c r="D41" s="6">
        <v>0</v>
      </c>
      <c r="E41" s="6">
        <v>0</v>
      </c>
      <c r="F41" s="6">
        <v>0</v>
      </c>
      <c r="G41" s="6">
        <v>0</v>
      </c>
    </row>
    <row r="42" spans="1:7" x14ac:dyDescent="0.25">
      <c r="A42" s="8">
        <v>18</v>
      </c>
      <c r="B42" s="8">
        <v>2</v>
      </c>
      <c r="C42" s="8">
        <v>0</v>
      </c>
      <c r="D42" s="6">
        <v>0</v>
      </c>
      <c r="E42" s="6">
        <v>0</v>
      </c>
      <c r="F42" s="6">
        <v>0</v>
      </c>
      <c r="G42" s="6">
        <v>0</v>
      </c>
    </row>
    <row r="43" spans="1:7" x14ac:dyDescent="0.25">
      <c r="A43" s="8">
        <v>19</v>
      </c>
      <c r="B43" s="8">
        <v>2</v>
      </c>
      <c r="C43" s="8">
        <v>0</v>
      </c>
      <c r="D43" s="6">
        <v>0</v>
      </c>
      <c r="E43" s="6">
        <v>0</v>
      </c>
      <c r="F43" s="6">
        <v>0</v>
      </c>
      <c r="G43" s="6">
        <v>0</v>
      </c>
    </row>
    <row r="44" spans="1:7" x14ac:dyDescent="0.25">
      <c r="A44" s="8">
        <v>20</v>
      </c>
      <c r="B44" s="8">
        <v>2</v>
      </c>
      <c r="C44" s="8">
        <v>0</v>
      </c>
      <c r="D44" s="6">
        <v>0</v>
      </c>
      <c r="E44" s="6">
        <v>0</v>
      </c>
      <c r="F44" s="6">
        <v>0</v>
      </c>
      <c r="G44" s="6">
        <v>0</v>
      </c>
    </row>
    <row r="45" spans="1:7" x14ac:dyDescent="0.25">
      <c r="A45" s="8">
        <v>21</v>
      </c>
      <c r="B45" s="8">
        <v>1</v>
      </c>
      <c r="C45" s="8">
        <v>35000</v>
      </c>
      <c r="D45" s="6">
        <v>0</v>
      </c>
      <c r="E45" s="6">
        <v>0</v>
      </c>
      <c r="F45" s="6">
        <v>0</v>
      </c>
      <c r="G45" s="6">
        <v>0</v>
      </c>
    </row>
    <row r="46" spans="1:7" x14ac:dyDescent="0.25">
      <c r="A46" s="8">
        <v>22</v>
      </c>
      <c r="B46" s="8">
        <v>1</v>
      </c>
      <c r="C46" s="8">
        <v>34000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5">
      <c r="A47" s="8">
        <v>23</v>
      </c>
      <c r="B47" s="8">
        <v>2</v>
      </c>
      <c r="C47" s="8">
        <v>0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5">
      <c r="A48" s="8">
        <v>24</v>
      </c>
      <c r="B48" s="8">
        <v>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</row>
    <row r="49" spans="1:14" x14ac:dyDescent="0.25">
      <c r="A49" s="9">
        <v>301</v>
      </c>
      <c r="B49" s="9">
        <v>1</v>
      </c>
      <c r="C49" s="9">
        <v>30000</v>
      </c>
      <c r="D49" s="9">
        <v>0</v>
      </c>
      <c r="E49" s="9">
        <v>0</v>
      </c>
      <c r="F49" s="9">
        <v>0</v>
      </c>
      <c r="G49" s="9">
        <v>0</v>
      </c>
    </row>
    <row r="50" spans="1:14" s="4" customFormat="1" x14ac:dyDescent="0.25">
      <c r="H50" s="3"/>
      <c r="I50" s="3"/>
      <c r="J50" s="3"/>
      <c r="K50" s="3"/>
      <c r="L50" s="3"/>
      <c r="M50" s="3"/>
      <c r="N50" s="3"/>
    </row>
    <row r="51" spans="1:14" x14ac:dyDescent="0.25">
      <c r="A51" s="10">
        <v>137</v>
      </c>
      <c r="B51" s="10">
        <v>2</v>
      </c>
      <c r="C51" s="10">
        <v>0</v>
      </c>
      <c r="D51" s="11">
        <v>0</v>
      </c>
      <c r="E51" s="11">
        <v>0</v>
      </c>
      <c r="F51" s="11">
        <v>0</v>
      </c>
      <c r="G51" s="11">
        <v>0</v>
      </c>
    </row>
    <row r="52" spans="1:14" x14ac:dyDescent="0.25">
      <c r="A52" s="8">
        <v>134</v>
      </c>
      <c r="B52" s="8">
        <v>1</v>
      </c>
      <c r="C52" s="8">
        <v>6000</v>
      </c>
      <c r="D52" s="6">
        <v>0</v>
      </c>
      <c r="E52" s="6">
        <v>0</v>
      </c>
      <c r="F52" s="6">
        <v>0</v>
      </c>
      <c r="G52" s="6">
        <v>0</v>
      </c>
    </row>
    <row r="53" spans="1:14" x14ac:dyDescent="0.25">
      <c r="A53" s="8">
        <v>130</v>
      </c>
      <c r="B53" s="8"/>
      <c r="C53" s="8">
        <v>0</v>
      </c>
      <c r="D53" s="6">
        <v>0</v>
      </c>
      <c r="E53" s="6">
        <v>0</v>
      </c>
      <c r="F53" s="6">
        <v>0</v>
      </c>
      <c r="G53" s="6">
        <v>0</v>
      </c>
    </row>
    <row r="54" spans="1:14" x14ac:dyDescent="0.25">
      <c r="A54" s="8">
        <v>131</v>
      </c>
      <c r="B54" s="8">
        <v>1</v>
      </c>
      <c r="C54" s="8">
        <v>2000</v>
      </c>
      <c r="D54" s="6">
        <v>0</v>
      </c>
      <c r="E54" s="6">
        <v>0</v>
      </c>
      <c r="F54" s="6">
        <v>0</v>
      </c>
      <c r="G54" s="6">
        <v>0</v>
      </c>
    </row>
    <row r="55" spans="1:14" x14ac:dyDescent="0.25">
      <c r="A55" s="8">
        <v>132</v>
      </c>
      <c r="B55" s="8">
        <v>2</v>
      </c>
      <c r="C55" s="8">
        <v>0</v>
      </c>
      <c r="D55" s="6">
        <v>0</v>
      </c>
      <c r="E55" s="6">
        <v>0</v>
      </c>
      <c r="F55" s="6">
        <v>0</v>
      </c>
      <c r="G55" s="6">
        <v>0</v>
      </c>
    </row>
    <row r="56" spans="1:14" x14ac:dyDescent="0.25">
      <c r="A56" s="8">
        <v>133</v>
      </c>
      <c r="B56" s="8">
        <v>1</v>
      </c>
      <c r="C56" s="8">
        <v>75000</v>
      </c>
      <c r="D56" s="6">
        <v>0</v>
      </c>
      <c r="E56" s="6">
        <v>0</v>
      </c>
      <c r="F56" s="6">
        <v>0</v>
      </c>
      <c r="G56" s="6">
        <v>0</v>
      </c>
    </row>
    <row r="57" spans="1:14" x14ac:dyDescent="0.25">
      <c r="A57" s="8">
        <v>34</v>
      </c>
      <c r="B57" s="8">
        <v>2</v>
      </c>
      <c r="C57" s="8">
        <v>0</v>
      </c>
      <c r="D57" s="6">
        <v>0</v>
      </c>
      <c r="E57" s="6">
        <v>0</v>
      </c>
      <c r="F57" s="6">
        <v>0</v>
      </c>
      <c r="G57" s="6">
        <v>0</v>
      </c>
    </row>
    <row r="58" spans="1:14" x14ac:dyDescent="0.25">
      <c r="A58" s="8">
        <v>35</v>
      </c>
      <c r="B58" s="8">
        <v>2</v>
      </c>
      <c r="C58" s="8">
        <v>0</v>
      </c>
      <c r="D58" s="6">
        <v>0</v>
      </c>
      <c r="E58" s="6">
        <v>0</v>
      </c>
      <c r="F58" s="6">
        <v>0</v>
      </c>
      <c r="G58" s="6">
        <v>0</v>
      </c>
    </row>
    <row r="59" spans="1:14" x14ac:dyDescent="0.25">
      <c r="A59" s="8">
        <v>33</v>
      </c>
      <c r="B59" s="8">
        <v>2</v>
      </c>
      <c r="C59" s="8">
        <v>0</v>
      </c>
      <c r="D59" s="6">
        <v>0</v>
      </c>
      <c r="E59" s="6">
        <v>0</v>
      </c>
      <c r="F59" s="6">
        <v>0</v>
      </c>
      <c r="G59" s="6">
        <v>0</v>
      </c>
    </row>
    <row r="60" spans="1:14" x14ac:dyDescent="0.25">
      <c r="A60" s="8">
        <v>32</v>
      </c>
      <c r="B60" s="8">
        <v>2</v>
      </c>
      <c r="C60" s="8">
        <v>0</v>
      </c>
      <c r="D60" s="6">
        <v>0</v>
      </c>
      <c r="E60" s="6">
        <v>0</v>
      </c>
      <c r="F60" s="6">
        <v>0</v>
      </c>
      <c r="G60" s="6">
        <v>0</v>
      </c>
    </row>
    <row r="61" spans="1:14" x14ac:dyDescent="0.25">
      <c r="A61" s="8">
        <v>31</v>
      </c>
      <c r="B61" s="8">
        <v>1</v>
      </c>
      <c r="C61" s="8">
        <v>2000</v>
      </c>
      <c r="D61" s="6">
        <v>0</v>
      </c>
      <c r="E61" s="6">
        <v>0</v>
      </c>
      <c r="F61" s="6">
        <v>0</v>
      </c>
      <c r="G61" s="6">
        <v>0</v>
      </c>
    </row>
    <row r="62" spans="1:14" x14ac:dyDescent="0.25">
      <c r="A62" s="8">
        <v>142</v>
      </c>
      <c r="B62" s="8">
        <v>2</v>
      </c>
      <c r="C62" s="8">
        <v>0</v>
      </c>
      <c r="D62" s="6">
        <v>0</v>
      </c>
      <c r="E62" s="6">
        <v>0</v>
      </c>
      <c r="F62" s="6">
        <v>0</v>
      </c>
      <c r="G62" s="6">
        <v>0</v>
      </c>
    </row>
    <row r="63" spans="1:14" x14ac:dyDescent="0.25">
      <c r="A63" s="8">
        <v>30</v>
      </c>
      <c r="B63" s="8">
        <v>2</v>
      </c>
      <c r="C63" s="8">
        <v>0</v>
      </c>
      <c r="D63" s="6">
        <v>0</v>
      </c>
      <c r="E63" s="6">
        <v>0</v>
      </c>
      <c r="F63" s="6">
        <v>0</v>
      </c>
      <c r="G63" s="6">
        <v>0</v>
      </c>
    </row>
    <row r="64" spans="1:14" x14ac:dyDescent="0.25">
      <c r="A64" s="8">
        <v>38</v>
      </c>
      <c r="B64" s="8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</row>
    <row r="65" spans="1:14" x14ac:dyDescent="0.25">
      <c r="A65" s="8">
        <v>36</v>
      </c>
      <c r="B65" s="8">
        <v>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</row>
    <row r="66" spans="1:14" x14ac:dyDescent="0.25">
      <c r="A66" s="9">
        <v>39</v>
      </c>
      <c r="B66" s="9">
        <v>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</row>
    <row r="67" spans="1:14" s="4" customFormat="1" x14ac:dyDescent="0.25">
      <c r="H67" s="3"/>
      <c r="I67" s="3"/>
      <c r="J67" s="3"/>
      <c r="K67" s="3"/>
      <c r="L67" s="3"/>
      <c r="M67" s="3"/>
      <c r="N67" s="3"/>
    </row>
    <row r="68" spans="1:14" x14ac:dyDescent="0.25">
      <c r="A68" s="10">
        <v>136</v>
      </c>
      <c r="B68" s="10">
        <v>2</v>
      </c>
      <c r="C68" s="10">
        <v>0</v>
      </c>
      <c r="D68" s="11">
        <v>0</v>
      </c>
      <c r="E68" s="11">
        <v>0</v>
      </c>
      <c r="F68" s="11">
        <v>0</v>
      </c>
      <c r="G68" s="11">
        <v>0</v>
      </c>
    </row>
    <row r="69" spans="1:14" x14ac:dyDescent="0.25">
      <c r="A69" s="8">
        <v>139</v>
      </c>
      <c r="B69" s="8">
        <v>1</v>
      </c>
      <c r="C69" s="8">
        <v>50000</v>
      </c>
      <c r="D69" s="6">
        <v>0</v>
      </c>
      <c r="E69" s="6">
        <v>0</v>
      </c>
      <c r="F69" s="6">
        <v>0</v>
      </c>
      <c r="G69" s="6">
        <v>0</v>
      </c>
    </row>
    <row r="70" spans="1:14" x14ac:dyDescent="0.25">
      <c r="A70" s="8">
        <v>141</v>
      </c>
      <c r="B70" s="8">
        <v>1</v>
      </c>
      <c r="C70" s="8">
        <v>2000</v>
      </c>
      <c r="D70" s="6">
        <v>0</v>
      </c>
      <c r="E70" s="6">
        <v>0</v>
      </c>
      <c r="F70" s="6">
        <v>0</v>
      </c>
      <c r="G70" s="6">
        <v>0</v>
      </c>
    </row>
    <row r="71" spans="1:14" x14ac:dyDescent="0.25">
      <c r="A71" s="8">
        <v>140</v>
      </c>
      <c r="B71" s="8">
        <v>1</v>
      </c>
      <c r="C71" s="8">
        <v>15000</v>
      </c>
      <c r="D71" s="6">
        <v>0</v>
      </c>
      <c r="E71" s="6">
        <v>0</v>
      </c>
      <c r="F71" s="6">
        <v>0</v>
      </c>
      <c r="G71" s="6">
        <v>0</v>
      </c>
    </row>
    <row r="72" spans="1:14" x14ac:dyDescent="0.25">
      <c r="A72" s="8">
        <v>37</v>
      </c>
      <c r="B72" s="8">
        <v>2</v>
      </c>
      <c r="C72" s="8">
        <v>0</v>
      </c>
      <c r="D72" s="6">
        <v>0</v>
      </c>
      <c r="E72" s="6">
        <v>0</v>
      </c>
      <c r="F72" s="6">
        <v>0</v>
      </c>
      <c r="G72" s="6">
        <v>0</v>
      </c>
    </row>
    <row r="73" spans="1:14" x14ac:dyDescent="0.25">
      <c r="A73" s="8">
        <v>42</v>
      </c>
      <c r="B73" s="8">
        <v>2</v>
      </c>
      <c r="C73" s="8">
        <v>0</v>
      </c>
      <c r="D73" s="6">
        <v>0</v>
      </c>
      <c r="E73" s="6">
        <v>0</v>
      </c>
      <c r="F73" s="6">
        <v>0</v>
      </c>
      <c r="G73" s="6">
        <v>0</v>
      </c>
    </row>
    <row r="74" spans="1:14" x14ac:dyDescent="0.25">
      <c r="A74" s="8">
        <v>40</v>
      </c>
      <c r="B74" s="8">
        <v>1</v>
      </c>
      <c r="C74" s="8">
        <v>15000</v>
      </c>
      <c r="D74" s="6">
        <v>0</v>
      </c>
      <c r="E74" s="6">
        <v>0</v>
      </c>
      <c r="F74" s="6">
        <v>0</v>
      </c>
      <c r="G74" s="6">
        <v>0</v>
      </c>
    </row>
    <row r="75" spans="1:14" x14ac:dyDescent="0.25">
      <c r="A75" s="8">
        <v>41</v>
      </c>
      <c r="B75" s="8">
        <v>1</v>
      </c>
      <c r="C75" s="8">
        <v>20000</v>
      </c>
      <c r="D75" s="6">
        <v>0</v>
      </c>
      <c r="E75" s="6">
        <v>0</v>
      </c>
      <c r="F75" s="6">
        <v>0</v>
      </c>
      <c r="G75" s="6">
        <v>0</v>
      </c>
    </row>
    <row r="76" spans="1:14" x14ac:dyDescent="0.25">
      <c r="A76" s="8">
        <v>29</v>
      </c>
      <c r="B76" s="8">
        <v>2</v>
      </c>
      <c r="C76" s="8">
        <v>0</v>
      </c>
      <c r="D76" s="6">
        <v>0</v>
      </c>
      <c r="E76" s="6">
        <v>0</v>
      </c>
      <c r="F76" s="6">
        <v>0</v>
      </c>
      <c r="G76" s="6">
        <v>0</v>
      </c>
    </row>
    <row r="77" spans="1:14" x14ac:dyDescent="0.25">
      <c r="A77" s="8">
        <v>28</v>
      </c>
      <c r="B77" s="8">
        <v>2</v>
      </c>
      <c r="C77" s="8">
        <v>0</v>
      </c>
      <c r="D77" s="6">
        <v>0</v>
      </c>
      <c r="E77" s="6">
        <v>0</v>
      </c>
      <c r="F77" s="6">
        <v>0</v>
      </c>
      <c r="G77" s="6">
        <v>0</v>
      </c>
    </row>
    <row r="78" spans="1:14" x14ac:dyDescent="0.25">
      <c r="A78" s="8">
        <v>129</v>
      </c>
      <c r="B78" s="8">
        <v>1</v>
      </c>
      <c r="C78" s="8">
        <v>6000</v>
      </c>
      <c r="D78" s="6">
        <v>0</v>
      </c>
      <c r="E78" s="6">
        <v>0</v>
      </c>
      <c r="F78" s="6">
        <v>0</v>
      </c>
      <c r="G78" s="6">
        <v>0</v>
      </c>
    </row>
    <row r="79" spans="1:14" x14ac:dyDescent="0.25">
      <c r="A79" s="8">
        <v>135</v>
      </c>
      <c r="B79" s="8">
        <v>1</v>
      </c>
      <c r="C79" s="8">
        <v>20000</v>
      </c>
      <c r="D79" s="6">
        <v>0</v>
      </c>
      <c r="E79" s="6">
        <v>0</v>
      </c>
      <c r="F79" s="6">
        <v>0</v>
      </c>
      <c r="G79" s="6">
        <v>0</v>
      </c>
    </row>
    <row r="80" spans="1:14" x14ac:dyDescent="0.25">
      <c r="A80" s="8">
        <v>138</v>
      </c>
      <c r="B80" s="8">
        <v>1</v>
      </c>
      <c r="C80" s="8">
        <v>25000</v>
      </c>
      <c r="D80" s="6">
        <v>0</v>
      </c>
      <c r="E80" s="6">
        <v>0</v>
      </c>
      <c r="F80" s="6">
        <v>0</v>
      </c>
      <c r="G80" s="6">
        <v>0</v>
      </c>
    </row>
    <row r="81" spans="1:14" x14ac:dyDescent="0.25">
      <c r="A81" s="9">
        <v>137</v>
      </c>
      <c r="B81" s="9">
        <v>2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</row>
    <row r="82" spans="1:14" s="4" customFormat="1" x14ac:dyDescent="0.25">
      <c r="H82" s="3"/>
      <c r="I82" s="3"/>
      <c r="J82" s="3"/>
      <c r="K82" s="3"/>
      <c r="L82" s="3"/>
      <c r="M82" s="3"/>
      <c r="N82" s="3"/>
    </row>
    <row r="83" spans="1:14" x14ac:dyDescent="0.25">
      <c r="A83" s="10">
        <v>252</v>
      </c>
      <c r="B83" s="10">
        <v>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</row>
    <row r="84" spans="1:14" x14ac:dyDescent="0.25">
      <c r="A84" s="8">
        <v>253</v>
      </c>
      <c r="B84" s="8">
        <v>1</v>
      </c>
      <c r="C84" s="8">
        <v>5000</v>
      </c>
      <c r="D84" s="8">
        <v>0</v>
      </c>
      <c r="E84" s="8">
        <v>0</v>
      </c>
      <c r="F84" s="8">
        <v>0</v>
      </c>
      <c r="G84" s="8">
        <v>0</v>
      </c>
    </row>
    <row r="85" spans="1:14" x14ac:dyDescent="0.25">
      <c r="A85" s="8">
        <v>254</v>
      </c>
      <c r="B85" s="8">
        <v>1</v>
      </c>
      <c r="C85" s="8">
        <v>15000</v>
      </c>
      <c r="D85" s="8">
        <v>0</v>
      </c>
      <c r="E85" s="8">
        <v>0</v>
      </c>
      <c r="F85" s="8">
        <v>10000</v>
      </c>
      <c r="G85" s="8">
        <v>0</v>
      </c>
    </row>
    <row r="86" spans="1:14" x14ac:dyDescent="0.25">
      <c r="A86" s="8">
        <v>255</v>
      </c>
      <c r="B86" s="8">
        <v>1</v>
      </c>
      <c r="C86" s="8">
        <v>15000</v>
      </c>
      <c r="D86" s="8">
        <v>0</v>
      </c>
      <c r="E86" s="6">
        <v>0</v>
      </c>
      <c r="F86" s="6">
        <v>0</v>
      </c>
      <c r="G86" s="6">
        <v>0</v>
      </c>
    </row>
    <row r="87" spans="1:14" x14ac:dyDescent="0.25">
      <c r="A87" s="8">
        <v>256</v>
      </c>
      <c r="B87" s="8">
        <v>2</v>
      </c>
      <c r="C87" s="8">
        <v>0</v>
      </c>
      <c r="D87" s="8">
        <v>0</v>
      </c>
      <c r="E87" s="6">
        <v>0</v>
      </c>
      <c r="F87" s="6">
        <v>0</v>
      </c>
      <c r="G87" s="6">
        <v>0</v>
      </c>
    </row>
    <row r="88" spans="1:14" x14ac:dyDescent="0.25">
      <c r="A88" s="8">
        <v>101</v>
      </c>
      <c r="B88" s="8">
        <v>1</v>
      </c>
      <c r="C88" s="8">
        <v>80000</v>
      </c>
      <c r="D88" s="8">
        <v>0</v>
      </c>
      <c r="E88" s="6">
        <v>0</v>
      </c>
      <c r="F88" s="6">
        <v>0</v>
      </c>
      <c r="G88" s="6">
        <v>0</v>
      </c>
    </row>
    <row r="89" spans="1:14" x14ac:dyDescent="0.25">
      <c r="A89" s="8">
        <v>106</v>
      </c>
      <c r="B89" s="8">
        <v>1</v>
      </c>
      <c r="C89" s="8">
        <v>15000</v>
      </c>
      <c r="D89" s="8">
        <v>0</v>
      </c>
      <c r="E89" s="6">
        <v>0</v>
      </c>
      <c r="F89" s="6">
        <v>0</v>
      </c>
      <c r="G89" s="6">
        <v>0</v>
      </c>
    </row>
    <row r="90" spans="1:14" x14ac:dyDescent="0.25">
      <c r="A90" s="8">
        <v>107</v>
      </c>
      <c r="B90" s="8">
        <v>1</v>
      </c>
      <c r="C90" s="8">
        <v>0</v>
      </c>
      <c r="D90" s="8">
        <v>30000</v>
      </c>
      <c r="E90" s="6">
        <v>0</v>
      </c>
      <c r="F90" s="6">
        <v>0</v>
      </c>
      <c r="G90" s="6">
        <v>0</v>
      </c>
    </row>
    <row r="91" spans="1:14" x14ac:dyDescent="0.25">
      <c r="A91" s="8">
        <v>108</v>
      </c>
      <c r="B91" s="8">
        <v>2</v>
      </c>
      <c r="C91" s="8">
        <v>0</v>
      </c>
      <c r="D91" s="6">
        <v>0</v>
      </c>
      <c r="E91" s="6">
        <v>0</v>
      </c>
      <c r="F91" s="6">
        <v>0</v>
      </c>
      <c r="G91" s="6">
        <v>0</v>
      </c>
    </row>
    <row r="92" spans="1:14" x14ac:dyDescent="0.25">
      <c r="A92" s="8">
        <v>109</v>
      </c>
      <c r="B92" s="8">
        <v>2</v>
      </c>
      <c r="C92" s="8">
        <v>0</v>
      </c>
      <c r="D92" s="6">
        <v>0</v>
      </c>
      <c r="E92" s="6">
        <v>0</v>
      </c>
      <c r="F92" s="6">
        <v>0</v>
      </c>
      <c r="G92" s="6">
        <v>0</v>
      </c>
    </row>
    <row r="93" spans="1:14" x14ac:dyDescent="0.25">
      <c r="A93" s="8">
        <v>1</v>
      </c>
      <c r="B93" s="8">
        <v>2</v>
      </c>
      <c r="C93" s="8">
        <v>0</v>
      </c>
      <c r="D93" s="6">
        <v>0</v>
      </c>
      <c r="E93" s="6">
        <v>0</v>
      </c>
      <c r="F93" s="6">
        <v>0</v>
      </c>
      <c r="G93" s="6">
        <v>0</v>
      </c>
    </row>
    <row r="94" spans="1:14" x14ac:dyDescent="0.25">
      <c r="A94" s="8">
        <v>2</v>
      </c>
      <c r="B94" s="8">
        <v>2</v>
      </c>
      <c r="C94" s="8">
        <v>0</v>
      </c>
      <c r="D94" s="6">
        <v>0</v>
      </c>
      <c r="E94" s="6">
        <v>0</v>
      </c>
      <c r="F94" s="6">
        <v>0</v>
      </c>
      <c r="G94" s="6">
        <v>0</v>
      </c>
    </row>
    <row r="95" spans="1:14" x14ac:dyDescent="0.25">
      <c r="A95" s="8">
        <v>3</v>
      </c>
      <c r="B95" s="8">
        <v>1</v>
      </c>
      <c r="C95" s="8">
        <v>10000</v>
      </c>
      <c r="D95" s="6">
        <v>0</v>
      </c>
      <c r="E95" s="6">
        <v>0</v>
      </c>
      <c r="F95" s="6">
        <v>0</v>
      </c>
      <c r="G95" s="6">
        <v>0</v>
      </c>
    </row>
    <row r="96" spans="1:14" x14ac:dyDescent="0.25">
      <c r="A96" s="8">
        <v>4</v>
      </c>
      <c r="B96" s="8">
        <v>1</v>
      </c>
      <c r="C96" s="8">
        <v>2000</v>
      </c>
      <c r="D96" s="6">
        <v>0</v>
      </c>
      <c r="E96" s="6">
        <v>0</v>
      </c>
      <c r="F96" s="6">
        <v>0</v>
      </c>
      <c r="G96" s="6">
        <v>0</v>
      </c>
    </row>
    <row r="97" spans="1:7" x14ac:dyDescent="0.25">
      <c r="A97" s="8">
        <v>5</v>
      </c>
      <c r="B97" s="8">
        <v>2</v>
      </c>
      <c r="C97" s="8"/>
      <c r="D97" s="6">
        <v>0</v>
      </c>
      <c r="E97" s="6">
        <v>0</v>
      </c>
      <c r="F97" s="6">
        <v>0</v>
      </c>
      <c r="G97" s="6">
        <v>0</v>
      </c>
    </row>
    <row r="98" spans="1:7" x14ac:dyDescent="0.25">
      <c r="A98" s="8">
        <v>8</v>
      </c>
      <c r="B98" s="8">
        <v>2</v>
      </c>
      <c r="C98" s="8">
        <v>0</v>
      </c>
      <c r="D98" s="6">
        <v>0</v>
      </c>
      <c r="E98" s="6">
        <v>0</v>
      </c>
      <c r="F98" s="6">
        <v>0</v>
      </c>
      <c r="G98" s="6">
        <v>0</v>
      </c>
    </row>
    <row r="99" spans="1:7" x14ac:dyDescent="0.25">
      <c r="A99" s="8">
        <v>9</v>
      </c>
      <c r="B99" s="8">
        <v>2</v>
      </c>
      <c r="C99" s="8">
        <v>0</v>
      </c>
      <c r="D99" s="6">
        <v>0</v>
      </c>
      <c r="E99" s="6">
        <v>0</v>
      </c>
      <c r="F99" s="6">
        <v>0</v>
      </c>
      <c r="G99" s="6">
        <v>0</v>
      </c>
    </row>
    <row r="100" spans="1:7" x14ac:dyDescent="0.25">
      <c r="A100" s="8">
        <v>201</v>
      </c>
      <c r="B100" s="8">
        <v>1</v>
      </c>
      <c r="C100" s="8">
        <f>100000/4</f>
        <v>25000</v>
      </c>
      <c r="D100" s="6">
        <v>0</v>
      </c>
      <c r="E100" s="6">
        <v>0</v>
      </c>
      <c r="F100" s="6">
        <v>0</v>
      </c>
      <c r="G100" s="6">
        <v>0</v>
      </c>
    </row>
    <row r="101" spans="1:7" x14ac:dyDescent="0.25">
      <c r="A101" s="8">
        <v>204</v>
      </c>
      <c r="B101" s="8">
        <v>5</v>
      </c>
      <c r="C101" s="8">
        <v>0</v>
      </c>
      <c r="D101" s="6">
        <v>0</v>
      </c>
      <c r="E101" s="6">
        <v>0</v>
      </c>
      <c r="F101" s="6">
        <v>0</v>
      </c>
      <c r="G101" s="6">
        <v>0</v>
      </c>
    </row>
    <row r="102" spans="1:7" x14ac:dyDescent="0.25">
      <c r="A102" s="8">
        <v>205</v>
      </c>
      <c r="B102" s="8">
        <v>2</v>
      </c>
      <c r="C102" s="8">
        <v>0</v>
      </c>
      <c r="D102" s="6">
        <v>0</v>
      </c>
      <c r="E102" s="6">
        <v>0</v>
      </c>
      <c r="F102" s="6">
        <v>0</v>
      </c>
      <c r="G102" s="6">
        <v>0</v>
      </c>
    </row>
    <row r="103" spans="1:7" x14ac:dyDescent="0.25">
      <c r="A103" s="8" t="s">
        <v>87</v>
      </c>
      <c r="B103" s="8">
        <v>1</v>
      </c>
      <c r="C103" s="8">
        <v>5000</v>
      </c>
      <c r="D103" s="6">
        <v>0</v>
      </c>
      <c r="E103" s="6">
        <v>0</v>
      </c>
      <c r="F103" s="6">
        <v>0</v>
      </c>
      <c r="G103" s="6">
        <v>0</v>
      </c>
    </row>
    <row r="104" spans="1:7" x14ac:dyDescent="0.25">
      <c r="A104" s="8" t="s">
        <v>143</v>
      </c>
      <c r="B104" s="8">
        <v>1</v>
      </c>
      <c r="C104" s="8">
        <v>12000</v>
      </c>
      <c r="D104" s="6">
        <v>0</v>
      </c>
      <c r="E104" s="6">
        <v>0</v>
      </c>
      <c r="F104" s="6">
        <v>0</v>
      </c>
      <c r="G104" s="6">
        <v>0</v>
      </c>
    </row>
    <row r="105" spans="1:7" x14ac:dyDescent="0.25">
      <c r="A105" s="8" t="s">
        <v>111</v>
      </c>
      <c r="B105" s="8">
        <v>2</v>
      </c>
      <c r="C105" s="8">
        <v>0</v>
      </c>
      <c r="D105" s="6">
        <v>0</v>
      </c>
      <c r="E105" s="6">
        <v>0</v>
      </c>
      <c r="F105" s="6">
        <v>0</v>
      </c>
      <c r="G105" s="6">
        <v>0</v>
      </c>
    </row>
    <row r="106" spans="1:7" x14ac:dyDescent="0.25">
      <c r="A106" s="8" t="s">
        <v>122</v>
      </c>
      <c r="B106" s="8">
        <v>2</v>
      </c>
      <c r="C106" s="8">
        <v>0</v>
      </c>
      <c r="D106" s="6">
        <v>0</v>
      </c>
      <c r="E106" s="6">
        <v>0</v>
      </c>
      <c r="F106" s="6">
        <v>0</v>
      </c>
      <c r="G106" s="6">
        <v>0</v>
      </c>
    </row>
    <row r="107" spans="1:7" x14ac:dyDescent="0.25">
      <c r="A107" s="8" t="s">
        <v>126</v>
      </c>
      <c r="B107" s="8">
        <v>2</v>
      </c>
      <c r="C107" s="8">
        <v>0</v>
      </c>
      <c r="D107" s="6">
        <v>0</v>
      </c>
      <c r="E107" s="6">
        <v>0</v>
      </c>
      <c r="F107" s="6">
        <v>0</v>
      </c>
      <c r="G107" s="6">
        <v>0</v>
      </c>
    </row>
    <row r="108" spans="1:7" x14ac:dyDescent="0.25">
      <c r="A108" s="8" t="s">
        <v>146</v>
      </c>
      <c r="B108" s="8">
        <v>2</v>
      </c>
      <c r="C108" s="8">
        <v>0</v>
      </c>
      <c r="D108" s="6">
        <v>0</v>
      </c>
      <c r="E108" s="6">
        <v>0</v>
      </c>
      <c r="F108" s="6">
        <v>0</v>
      </c>
      <c r="G108" s="6">
        <v>0</v>
      </c>
    </row>
    <row r="109" spans="1:7" x14ac:dyDescent="0.25">
      <c r="A109" s="8" t="s">
        <v>148</v>
      </c>
      <c r="B109" s="8">
        <v>2</v>
      </c>
      <c r="C109" s="8">
        <v>0</v>
      </c>
      <c r="D109" s="6">
        <v>0</v>
      </c>
      <c r="E109" s="6">
        <v>0</v>
      </c>
      <c r="F109" s="6">
        <v>0</v>
      </c>
      <c r="G109" s="6">
        <v>0</v>
      </c>
    </row>
    <row r="110" spans="1:7" x14ac:dyDescent="0.25">
      <c r="A110" s="8">
        <v>251</v>
      </c>
      <c r="B110" s="8">
        <v>1</v>
      </c>
      <c r="C110" s="8">
        <v>1000</v>
      </c>
      <c r="D110" s="6">
        <v>0</v>
      </c>
      <c r="E110" s="6">
        <v>0</v>
      </c>
      <c r="F110" s="6">
        <v>0</v>
      </c>
      <c r="G110" s="6">
        <v>0</v>
      </c>
    </row>
    <row r="111" spans="1:7" x14ac:dyDescent="0.25">
      <c r="A111" s="8">
        <v>102</v>
      </c>
      <c r="B111" s="8">
        <v>2</v>
      </c>
      <c r="C111" s="8">
        <v>0</v>
      </c>
      <c r="D111" s="6">
        <v>0</v>
      </c>
      <c r="E111" s="6">
        <v>0</v>
      </c>
      <c r="F111" s="6">
        <v>0</v>
      </c>
      <c r="G111" s="6">
        <v>0</v>
      </c>
    </row>
    <row r="112" spans="1:7" x14ac:dyDescent="0.25">
      <c r="A112" s="8">
        <v>104</v>
      </c>
      <c r="B112" s="8">
        <v>1</v>
      </c>
      <c r="C112" s="8">
        <v>20000</v>
      </c>
      <c r="D112" s="6">
        <v>0</v>
      </c>
      <c r="E112" s="6">
        <v>0</v>
      </c>
      <c r="F112" s="6">
        <v>0</v>
      </c>
      <c r="G112" s="6">
        <v>0</v>
      </c>
    </row>
    <row r="113" spans="1:14" x14ac:dyDescent="0.25">
      <c r="A113" s="8">
        <v>105</v>
      </c>
      <c r="B113" s="8">
        <v>2</v>
      </c>
      <c r="C113" s="8">
        <v>0</v>
      </c>
      <c r="D113" s="6">
        <v>0</v>
      </c>
      <c r="E113" s="6">
        <v>0</v>
      </c>
      <c r="F113" s="6">
        <v>0</v>
      </c>
      <c r="G113" s="6">
        <v>0</v>
      </c>
    </row>
    <row r="114" spans="1:14" x14ac:dyDescent="0.25">
      <c r="A114" s="8">
        <v>6</v>
      </c>
      <c r="B114" s="8">
        <v>2</v>
      </c>
      <c r="C114" s="8">
        <v>0</v>
      </c>
      <c r="D114" s="6">
        <v>0</v>
      </c>
      <c r="E114" s="6">
        <v>0</v>
      </c>
      <c r="F114" s="6">
        <v>0</v>
      </c>
      <c r="G114" s="6">
        <v>0</v>
      </c>
    </row>
    <row r="115" spans="1:14" x14ac:dyDescent="0.25">
      <c r="A115" s="8">
        <v>202</v>
      </c>
      <c r="B115" s="8">
        <v>2</v>
      </c>
      <c r="C115" s="8">
        <v>0</v>
      </c>
      <c r="D115" s="6">
        <v>0</v>
      </c>
      <c r="E115" s="6">
        <v>0</v>
      </c>
      <c r="F115" s="6">
        <v>0</v>
      </c>
      <c r="G115" s="6">
        <v>0</v>
      </c>
    </row>
    <row r="116" spans="1:14" x14ac:dyDescent="0.25">
      <c r="A116" s="9">
        <v>203</v>
      </c>
      <c r="B116" s="9">
        <v>2</v>
      </c>
      <c r="C116" s="9">
        <v>0</v>
      </c>
      <c r="D116" s="7">
        <v>0</v>
      </c>
      <c r="E116" s="7">
        <v>0</v>
      </c>
      <c r="F116" s="7">
        <v>0</v>
      </c>
      <c r="G116" s="7">
        <v>0</v>
      </c>
    </row>
    <row r="117" spans="1:14" s="4" customFormat="1" x14ac:dyDescent="0.25">
      <c r="H117" s="3"/>
      <c r="I117" s="3"/>
      <c r="J117" s="3"/>
      <c r="K117" s="3"/>
      <c r="L117" s="3"/>
      <c r="M117" s="3"/>
      <c r="N117" s="3"/>
    </row>
    <row r="118" spans="1:14" x14ac:dyDescent="0.25">
      <c r="A118" s="10">
        <v>7</v>
      </c>
      <c r="B118" s="10">
        <v>1</v>
      </c>
      <c r="C118" s="10">
        <v>3000</v>
      </c>
      <c r="D118" s="10">
        <v>0</v>
      </c>
      <c r="E118" s="11">
        <v>0</v>
      </c>
      <c r="F118" s="11">
        <v>0</v>
      </c>
      <c r="G118" s="10">
        <v>0</v>
      </c>
    </row>
    <row r="119" spans="1:14" x14ac:dyDescent="0.25">
      <c r="A119" s="8">
        <v>144</v>
      </c>
      <c r="B119" s="8">
        <v>1</v>
      </c>
      <c r="C119" s="8">
        <v>6000</v>
      </c>
      <c r="D119" s="8">
        <v>0</v>
      </c>
      <c r="E119" s="6">
        <v>0</v>
      </c>
      <c r="F119" s="6">
        <v>0</v>
      </c>
      <c r="G119" s="8">
        <v>0</v>
      </c>
    </row>
    <row r="120" spans="1:14" x14ac:dyDescent="0.25">
      <c r="A120" s="8">
        <v>261</v>
      </c>
      <c r="B120" s="8">
        <v>2</v>
      </c>
      <c r="C120" s="8">
        <v>0</v>
      </c>
      <c r="D120" s="8">
        <v>0</v>
      </c>
      <c r="E120" s="6">
        <v>0</v>
      </c>
      <c r="F120" s="6">
        <v>0</v>
      </c>
      <c r="G120" s="8">
        <v>0</v>
      </c>
    </row>
    <row r="121" spans="1:14" x14ac:dyDescent="0.25">
      <c r="A121" s="8">
        <v>208</v>
      </c>
      <c r="B121" s="8">
        <v>1</v>
      </c>
      <c r="C121" s="8">
        <v>3000</v>
      </c>
      <c r="D121" s="8">
        <v>0</v>
      </c>
      <c r="E121" s="6">
        <v>0</v>
      </c>
      <c r="F121" s="6">
        <v>0</v>
      </c>
      <c r="G121" s="8">
        <v>0</v>
      </c>
    </row>
    <row r="122" spans="1:14" x14ac:dyDescent="0.25">
      <c r="A122" s="8">
        <v>44</v>
      </c>
      <c r="B122" s="8">
        <v>2</v>
      </c>
      <c r="C122" s="8">
        <v>0</v>
      </c>
      <c r="D122" s="8">
        <v>0</v>
      </c>
      <c r="E122" s="6">
        <v>0</v>
      </c>
      <c r="F122" s="6">
        <v>0</v>
      </c>
      <c r="G122" s="8">
        <v>0</v>
      </c>
    </row>
    <row r="123" spans="1:14" x14ac:dyDescent="0.25">
      <c r="A123" s="8">
        <v>209</v>
      </c>
      <c r="B123" s="8">
        <v>1</v>
      </c>
      <c r="C123" s="8">
        <v>0</v>
      </c>
      <c r="D123" s="8">
        <v>0</v>
      </c>
      <c r="E123" s="6">
        <v>0</v>
      </c>
      <c r="F123" s="6">
        <v>0</v>
      </c>
      <c r="G123" s="8">
        <v>7000</v>
      </c>
    </row>
    <row r="124" spans="1:14" x14ac:dyDescent="0.25">
      <c r="A124" s="8">
        <v>45</v>
      </c>
      <c r="B124" s="8">
        <v>2</v>
      </c>
      <c r="C124" s="8">
        <v>0</v>
      </c>
      <c r="D124" s="8">
        <v>0</v>
      </c>
      <c r="E124" s="6">
        <v>0</v>
      </c>
      <c r="F124" s="6">
        <v>0</v>
      </c>
      <c r="G124" s="8">
        <v>0</v>
      </c>
    </row>
    <row r="125" spans="1:14" x14ac:dyDescent="0.25">
      <c r="A125" s="8">
        <v>210</v>
      </c>
      <c r="B125" s="8">
        <v>1</v>
      </c>
      <c r="C125" s="8">
        <v>5000</v>
      </c>
      <c r="D125" s="8">
        <v>25000</v>
      </c>
      <c r="E125" s="6">
        <v>0</v>
      </c>
      <c r="F125" s="6">
        <v>0</v>
      </c>
      <c r="G125" s="8">
        <v>0</v>
      </c>
    </row>
    <row r="126" spans="1:14" x14ac:dyDescent="0.25">
      <c r="A126" s="8">
        <v>211</v>
      </c>
      <c r="B126" s="8">
        <v>1</v>
      </c>
      <c r="C126" s="8">
        <v>5000</v>
      </c>
      <c r="D126" s="6">
        <v>0</v>
      </c>
      <c r="E126" s="6">
        <v>0</v>
      </c>
      <c r="F126" s="6">
        <v>0</v>
      </c>
      <c r="G126" s="8">
        <v>0</v>
      </c>
    </row>
    <row r="127" spans="1:14" x14ac:dyDescent="0.25">
      <c r="A127" s="8">
        <v>212</v>
      </c>
      <c r="B127" s="8">
        <v>1</v>
      </c>
      <c r="C127" s="8">
        <v>0</v>
      </c>
      <c r="D127" s="6">
        <v>0</v>
      </c>
      <c r="E127" s="6">
        <v>0</v>
      </c>
      <c r="F127" s="6">
        <v>0</v>
      </c>
      <c r="G127" s="8">
        <v>3000</v>
      </c>
    </row>
    <row r="128" spans="1:14" x14ac:dyDescent="0.25">
      <c r="A128" s="8">
        <v>145</v>
      </c>
      <c r="B128" s="8">
        <v>2</v>
      </c>
      <c r="C128" s="8">
        <v>0</v>
      </c>
      <c r="D128" s="6">
        <v>0</v>
      </c>
      <c r="E128" s="6">
        <v>0</v>
      </c>
      <c r="F128" s="6">
        <v>0</v>
      </c>
      <c r="G128" s="8">
        <v>0</v>
      </c>
    </row>
    <row r="129" spans="1:14" x14ac:dyDescent="0.25">
      <c r="A129" s="8">
        <v>46</v>
      </c>
      <c r="B129" s="8">
        <v>2</v>
      </c>
      <c r="C129" s="8">
        <v>0</v>
      </c>
      <c r="D129" s="6">
        <v>0</v>
      </c>
      <c r="E129" s="6">
        <v>0</v>
      </c>
      <c r="F129" s="6">
        <v>0</v>
      </c>
      <c r="G129" s="8">
        <v>0</v>
      </c>
    </row>
    <row r="130" spans="1:14" x14ac:dyDescent="0.25">
      <c r="A130" s="8">
        <v>47</v>
      </c>
      <c r="B130" s="8">
        <v>1</v>
      </c>
      <c r="C130" s="8">
        <v>14000</v>
      </c>
      <c r="D130" s="6">
        <v>0</v>
      </c>
      <c r="E130" s="6">
        <v>0</v>
      </c>
      <c r="F130" s="6">
        <v>0</v>
      </c>
      <c r="G130" s="8">
        <v>0</v>
      </c>
    </row>
    <row r="131" spans="1:14" x14ac:dyDescent="0.25">
      <c r="A131" s="8">
        <v>213</v>
      </c>
      <c r="B131" s="8">
        <v>2</v>
      </c>
      <c r="C131" s="8">
        <v>0</v>
      </c>
      <c r="D131" s="6">
        <v>0</v>
      </c>
      <c r="E131" s="6">
        <v>0</v>
      </c>
      <c r="F131" s="6">
        <v>0</v>
      </c>
      <c r="G131" s="8">
        <v>0</v>
      </c>
    </row>
    <row r="132" spans="1:14" x14ac:dyDescent="0.25">
      <c r="A132" s="8">
        <v>262</v>
      </c>
      <c r="B132" s="8">
        <v>1</v>
      </c>
      <c r="C132" s="8">
        <v>30000</v>
      </c>
      <c r="D132" s="6">
        <v>0</v>
      </c>
      <c r="E132" s="6">
        <v>0</v>
      </c>
      <c r="F132" s="6">
        <v>0</v>
      </c>
      <c r="G132" s="8">
        <v>0</v>
      </c>
    </row>
    <row r="133" spans="1:14" x14ac:dyDescent="0.25">
      <c r="A133" s="8">
        <v>143</v>
      </c>
      <c r="B133" s="8">
        <v>2</v>
      </c>
      <c r="C133" s="8">
        <v>0</v>
      </c>
      <c r="D133" s="6">
        <v>0</v>
      </c>
      <c r="E133" s="6">
        <v>0</v>
      </c>
      <c r="F133" s="6">
        <v>0</v>
      </c>
      <c r="G133" s="8">
        <v>0</v>
      </c>
    </row>
    <row r="134" spans="1:14" x14ac:dyDescent="0.25">
      <c r="A134" s="8">
        <v>263</v>
      </c>
      <c r="B134" s="8">
        <v>1</v>
      </c>
      <c r="C134" s="8">
        <v>35000</v>
      </c>
      <c r="D134" s="6">
        <v>0</v>
      </c>
      <c r="E134" s="6">
        <v>0</v>
      </c>
      <c r="F134" s="6">
        <v>0</v>
      </c>
      <c r="G134" s="8">
        <v>0</v>
      </c>
    </row>
    <row r="135" spans="1:14" x14ac:dyDescent="0.25">
      <c r="A135" s="8">
        <v>264</v>
      </c>
      <c r="B135" s="8">
        <v>2</v>
      </c>
      <c r="C135" s="8">
        <v>0</v>
      </c>
      <c r="D135" s="6">
        <v>0</v>
      </c>
      <c r="E135" s="6">
        <v>0</v>
      </c>
      <c r="F135" s="6">
        <v>0</v>
      </c>
      <c r="G135" s="8">
        <v>0</v>
      </c>
    </row>
    <row r="136" spans="1:14" x14ac:dyDescent="0.25">
      <c r="A136" s="8">
        <v>265</v>
      </c>
      <c r="B136" s="8">
        <v>2</v>
      </c>
      <c r="C136" s="8">
        <v>0</v>
      </c>
      <c r="D136" s="6">
        <v>0</v>
      </c>
      <c r="E136" s="6">
        <v>0</v>
      </c>
      <c r="F136" s="6">
        <v>0</v>
      </c>
      <c r="G136" s="8">
        <v>0</v>
      </c>
    </row>
    <row r="137" spans="1:14" x14ac:dyDescent="0.25">
      <c r="A137" s="8">
        <v>266</v>
      </c>
      <c r="B137" s="8">
        <v>1</v>
      </c>
      <c r="C137" s="8">
        <v>0</v>
      </c>
      <c r="D137" s="6">
        <v>0</v>
      </c>
      <c r="E137" s="6">
        <v>0</v>
      </c>
      <c r="F137" s="6">
        <v>0</v>
      </c>
      <c r="G137" s="8">
        <v>60000</v>
      </c>
    </row>
    <row r="138" spans="1:14" x14ac:dyDescent="0.25">
      <c r="A138" s="8">
        <v>267</v>
      </c>
      <c r="B138" s="8">
        <v>2</v>
      </c>
      <c r="C138" s="8">
        <v>0</v>
      </c>
      <c r="D138" s="6">
        <v>0</v>
      </c>
      <c r="E138" s="6">
        <v>0</v>
      </c>
      <c r="F138" s="6">
        <v>0</v>
      </c>
      <c r="G138" s="8">
        <v>0</v>
      </c>
    </row>
    <row r="139" spans="1:14" x14ac:dyDescent="0.25">
      <c r="A139" s="8">
        <v>146</v>
      </c>
      <c r="B139" s="8">
        <v>1</v>
      </c>
      <c r="C139" s="8">
        <v>15000</v>
      </c>
      <c r="D139" s="6">
        <v>0</v>
      </c>
      <c r="E139" s="6">
        <v>0</v>
      </c>
      <c r="F139" s="6">
        <v>0</v>
      </c>
      <c r="G139" s="8">
        <v>0</v>
      </c>
    </row>
    <row r="140" spans="1:14" x14ac:dyDescent="0.25">
      <c r="A140" s="8">
        <v>43</v>
      </c>
      <c r="B140" s="8">
        <v>1</v>
      </c>
      <c r="C140" s="8">
        <v>7000</v>
      </c>
      <c r="D140" s="6">
        <v>0</v>
      </c>
      <c r="E140" s="6">
        <v>0</v>
      </c>
      <c r="F140" s="6">
        <v>0</v>
      </c>
      <c r="G140" s="8">
        <v>0</v>
      </c>
    </row>
    <row r="141" spans="1:14" x14ac:dyDescent="0.25">
      <c r="A141" s="8">
        <v>257</v>
      </c>
      <c r="B141" s="8">
        <v>2</v>
      </c>
      <c r="C141" s="8">
        <v>0</v>
      </c>
      <c r="D141" s="6">
        <v>0</v>
      </c>
      <c r="E141" s="6">
        <v>0</v>
      </c>
      <c r="F141" s="6">
        <v>0</v>
      </c>
      <c r="G141" s="8">
        <v>0</v>
      </c>
    </row>
    <row r="142" spans="1:14" x14ac:dyDescent="0.25">
      <c r="A142" s="9">
        <v>103</v>
      </c>
      <c r="B142" s="9">
        <v>1</v>
      </c>
      <c r="C142" s="9">
        <v>25000</v>
      </c>
      <c r="D142" s="7">
        <v>0</v>
      </c>
      <c r="E142" s="7">
        <v>0</v>
      </c>
      <c r="F142" s="7">
        <v>0</v>
      </c>
      <c r="G142" s="9">
        <v>0</v>
      </c>
    </row>
    <row r="143" spans="1:14" s="4" customFormat="1" x14ac:dyDescent="0.25">
      <c r="H143" s="3"/>
      <c r="I143" s="3"/>
      <c r="J143" s="3"/>
      <c r="K143" s="3"/>
      <c r="L143" s="3"/>
      <c r="M143" s="3"/>
      <c r="N143" s="3"/>
    </row>
    <row r="144" spans="1:14" x14ac:dyDescent="0.25">
      <c r="A144" s="10">
        <v>214</v>
      </c>
      <c r="B144" s="10">
        <v>1</v>
      </c>
      <c r="C144" s="10">
        <v>0</v>
      </c>
      <c r="D144" s="11">
        <v>0</v>
      </c>
      <c r="E144" s="11">
        <v>0</v>
      </c>
      <c r="F144" s="11">
        <v>0</v>
      </c>
      <c r="G144" s="10">
        <f>55000/12</f>
        <v>4583.333333333333</v>
      </c>
    </row>
    <row r="145" spans="1:14" x14ac:dyDescent="0.25">
      <c r="A145" s="8">
        <v>229</v>
      </c>
      <c r="B145" s="8">
        <v>2</v>
      </c>
      <c r="C145" s="8">
        <v>0</v>
      </c>
      <c r="D145" s="6">
        <v>0</v>
      </c>
      <c r="E145" s="11">
        <v>0</v>
      </c>
      <c r="F145" s="6">
        <v>0</v>
      </c>
      <c r="G145" s="6">
        <v>0</v>
      </c>
    </row>
    <row r="146" spans="1:14" x14ac:dyDescent="0.25">
      <c r="A146" s="8">
        <v>230</v>
      </c>
      <c r="B146" s="8">
        <v>2</v>
      </c>
      <c r="C146" s="8">
        <v>0</v>
      </c>
      <c r="D146" s="6">
        <v>0</v>
      </c>
      <c r="E146" s="11">
        <v>0</v>
      </c>
      <c r="F146" s="6">
        <v>0</v>
      </c>
      <c r="G146" s="6">
        <v>0</v>
      </c>
    </row>
    <row r="147" spans="1:14" x14ac:dyDescent="0.25">
      <c r="A147" s="8">
        <v>231</v>
      </c>
      <c r="B147" s="8">
        <v>1</v>
      </c>
      <c r="C147" s="8">
        <v>100000</v>
      </c>
      <c r="D147" s="6">
        <v>0</v>
      </c>
      <c r="E147" s="11">
        <v>0</v>
      </c>
      <c r="F147" s="6">
        <v>0</v>
      </c>
      <c r="G147" s="6">
        <v>0</v>
      </c>
    </row>
    <row r="148" spans="1:14" x14ac:dyDescent="0.25">
      <c r="A148" s="8">
        <v>269</v>
      </c>
      <c r="B148" s="8">
        <v>2</v>
      </c>
      <c r="C148" s="8">
        <v>0</v>
      </c>
      <c r="D148" s="8">
        <v>0</v>
      </c>
      <c r="E148" s="11">
        <v>0</v>
      </c>
      <c r="F148" s="6">
        <v>0</v>
      </c>
      <c r="G148" s="6">
        <v>0</v>
      </c>
    </row>
    <row r="149" spans="1:14" x14ac:dyDescent="0.25">
      <c r="A149" s="8">
        <v>270</v>
      </c>
      <c r="B149" s="8">
        <v>1</v>
      </c>
      <c r="C149" s="8">
        <v>0</v>
      </c>
      <c r="D149" s="8">
        <v>1800</v>
      </c>
      <c r="E149" s="11">
        <v>0</v>
      </c>
      <c r="F149" s="6">
        <v>0</v>
      </c>
      <c r="G149" s="6">
        <v>0</v>
      </c>
    </row>
    <row r="150" spans="1:14" x14ac:dyDescent="0.25">
      <c r="A150" s="8">
        <v>316</v>
      </c>
      <c r="B150" s="8">
        <v>1</v>
      </c>
      <c r="C150" s="8">
        <v>35000</v>
      </c>
      <c r="D150" s="6">
        <v>0</v>
      </c>
      <c r="E150" s="11">
        <v>0</v>
      </c>
      <c r="F150" s="6">
        <v>0</v>
      </c>
      <c r="G150" s="6">
        <v>0</v>
      </c>
    </row>
    <row r="151" spans="1:14" x14ac:dyDescent="0.25">
      <c r="A151" s="8">
        <v>317</v>
      </c>
      <c r="B151" s="8">
        <v>2</v>
      </c>
      <c r="C151" s="8">
        <v>0</v>
      </c>
      <c r="D151" s="6">
        <v>0</v>
      </c>
      <c r="E151" s="11">
        <v>0</v>
      </c>
      <c r="F151" s="6">
        <v>0</v>
      </c>
      <c r="G151" s="6">
        <v>0</v>
      </c>
    </row>
    <row r="152" spans="1:14" x14ac:dyDescent="0.25">
      <c r="A152" s="8">
        <v>318</v>
      </c>
      <c r="B152" s="8">
        <v>2</v>
      </c>
      <c r="C152" s="8">
        <v>0</v>
      </c>
      <c r="D152" s="6">
        <v>0</v>
      </c>
      <c r="E152" s="11">
        <v>0</v>
      </c>
      <c r="F152" s="6">
        <v>0</v>
      </c>
      <c r="G152" s="6">
        <v>0</v>
      </c>
    </row>
    <row r="153" spans="1:14" x14ac:dyDescent="0.25">
      <c r="A153" s="9">
        <v>232</v>
      </c>
      <c r="B153" s="9">
        <v>1</v>
      </c>
      <c r="C153" s="9">
        <v>10000</v>
      </c>
      <c r="D153" s="7">
        <v>0</v>
      </c>
      <c r="E153" s="40">
        <v>0</v>
      </c>
      <c r="F153" s="7">
        <v>0</v>
      </c>
      <c r="G153" s="7">
        <v>0</v>
      </c>
    </row>
    <row r="154" spans="1:14" s="4" customFormat="1" x14ac:dyDescent="0.25">
      <c r="H154" s="3"/>
      <c r="I154" s="3"/>
      <c r="J154" s="3"/>
      <c r="K154" s="3"/>
      <c r="L154" s="3"/>
      <c r="M154" s="3"/>
      <c r="N154" s="3"/>
    </row>
    <row r="155" spans="1:14" x14ac:dyDescent="0.25">
      <c r="A155" s="10">
        <v>156</v>
      </c>
      <c r="B155" s="10">
        <v>1</v>
      </c>
      <c r="C155" s="10">
        <v>30000</v>
      </c>
      <c r="D155" s="11">
        <v>0</v>
      </c>
      <c r="E155" s="11">
        <v>0</v>
      </c>
      <c r="F155" s="11">
        <v>0</v>
      </c>
      <c r="G155" s="11">
        <v>0</v>
      </c>
    </row>
    <row r="156" spans="1:14" x14ac:dyDescent="0.25">
      <c r="A156" s="8">
        <v>151</v>
      </c>
      <c r="B156" s="8">
        <v>1</v>
      </c>
      <c r="C156" s="8">
        <v>50000</v>
      </c>
      <c r="D156" s="11">
        <v>0</v>
      </c>
      <c r="E156" s="11">
        <v>0</v>
      </c>
      <c r="F156" s="11">
        <v>0</v>
      </c>
      <c r="G156" s="11">
        <v>0</v>
      </c>
    </row>
    <row r="157" spans="1:14" x14ac:dyDescent="0.25">
      <c r="A157" s="8">
        <v>157</v>
      </c>
      <c r="B157" s="8">
        <v>2</v>
      </c>
      <c r="C157" s="8"/>
      <c r="D157" s="11">
        <v>0</v>
      </c>
      <c r="E157" s="11">
        <v>0</v>
      </c>
      <c r="F157" s="11">
        <v>0</v>
      </c>
      <c r="G157" s="11">
        <v>0</v>
      </c>
    </row>
    <row r="158" spans="1:14" x14ac:dyDescent="0.25">
      <c r="A158" s="8">
        <v>50</v>
      </c>
      <c r="B158" s="8">
        <v>2</v>
      </c>
      <c r="C158" s="8"/>
      <c r="D158" s="11">
        <v>0</v>
      </c>
      <c r="E158" s="11">
        <v>0</v>
      </c>
      <c r="F158" s="11">
        <v>0</v>
      </c>
      <c r="G158" s="11">
        <v>0</v>
      </c>
    </row>
    <row r="159" spans="1:14" x14ac:dyDescent="0.25">
      <c r="A159" s="8">
        <v>49</v>
      </c>
      <c r="B159" s="8">
        <v>2</v>
      </c>
      <c r="C159" s="8"/>
      <c r="D159" s="11">
        <v>0</v>
      </c>
      <c r="E159" s="11">
        <v>0</v>
      </c>
      <c r="F159" s="11">
        <v>0</v>
      </c>
      <c r="G159" s="11">
        <v>0</v>
      </c>
    </row>
    <row r="160" spans="1:14" x14ac:dyDescent="0.25">
      <c r="A160" s="8">
        <v>44</v>
      </c>
      <c r="B160" s="8">
        <v>1</v>
      </c>
      <c r="C160" s="8">
        <v>20000</v>
      </c>
      <c r="D160" s="11">
        <v>0</v>
      </c>
      <c r="E160" s="11">
        <v>0</v>
      </c>
      <c r="F160" s="11">
        <v>0</v>
      </c>
      <c r="G160" s="11">
        <v>0</v>
      </c>
    </row>
    <row r="161" spans="1:14" x14ac:dyDescent="0.25">
      <c r="A161" s="8">
        <v>45</v>
      </c>
      <c r="B161" s="8">
        <v>2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</row>
    <row r="162" spans="1:14" x14ac:dyDescent="0.25">
      <c r="A162" s="8">
        <v>46</v>
      </c>
      <c r="B162" s="8">
        <v>2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</row>
    <row r="163" spans="1:14" x14ac:dyDescent="0.25">
      <c r="A163" s="8">
        <v>48</v>
      </c>
      <c r="B163" s="8">
        <v>1</v>
      </c>
      <c r="C163" s="11">
        <v>0</v>
      </c>
      <c r="D163" s="11">
        <v>0</v>
      </c>
      <c r="E163" s="11">
        <v>0</v>
      </c>
      <c r="F163" s="11">
        <v>0</v>
      </c>
      <c r="G163" s="8">
        <v>12000</v>
      </c>
    </row>
    <row r="164" spans="1:14" x14ac:dyDescent="0.25">
      <c r="A164" s="8">
        <v>47</v>
      </c>
      <c r="B164" s="8">
        <v>1</v>
      </c>
      <c r="C164" s="11">
        <v>0</v>
      </c>
      <c r="D164" s="11">
        <v>0</v>
      </c>
      <c r="E164" s="11">
        <v>0</v>
      </c>
      <c r="F164" s="11">
        <v>0</v>
      </c>
      <c r="G164" s="8">
        <v>32000</v>
      </c>
    </row>
    <row r="165" spans="1:14" x14ac:dyDescent="0.25">
      <c r="A165" s="8">
        <v>149</v>
      </c>
      <c r="B165" s="8">
        <v>2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</row>
    <row r="166" spans="1:14" x14ac:dyDescent="0.25">
      <c r="A166" s="8">
        <v>150</v>
      </c>
      <c r="B166" s="8">
        <v>2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</row>
    <row r="167" spans="1:14" x14ac:dyDescent="0.25">
      <c r="A167" s="8">
        <v>153</v>
      </c>
      <c r="B167" s="8">
        <v>2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</row>
    <row r="168" spans="1:14" x14ac:dyDescent="0.25">
      <c r="A168" s="8">
        <v>152</v>
      </c>
      <c r="B168" s="8">
        <v>2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</row>
    <row r="169" spans="1:14" x14ac:dyDescent="0.25">
      <c r="A169" s="8">
        <v>155</v>
      </c>
      <c r="B169" s="8">
        <v>2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</row>
    <row r="170" spans="1:14" x14ac:dyDescent="0.25">
      <c r="A170" s="9">
        <v>154</v>
      </c>
      <c r="B170" s="9">
        <v>2</v>
      </c>
      <c r="C170" s="40">
        <v>0</v>
      </c>
      <c r="D170" s="40">
        <v>0</v>
      </c>
      <c r="E170" s="40">
        <v>0</v>
      </c>
      <c r="F170" s="40">
        <v>0</v>
      </c>
      <c r="G170" s="40">
        <v>0</v>
      </c>
    </row>
    <row r="171" spans="1:14" s="4" customFormat="1" x14ac:dyDescent="0.25">
      <c r="H171" s="3"/>
      <c r="I171" s="3"/>
      <c r="J171" s="3"/>
      <c r="K171" s="3"/>
      <c r="L171" s="3"/>
      <c r="M171" s="3"/>
      <c r="N171" s="3"/>
    </row>
    <row r="172" spans="1:14" x14ac:dyDescent="0.25">
      <c r="A172" s="10">
        <v>163</v>
      </c>
      <c r="B172" s="10">
        <v>2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</row>
    <row r="173" spans="1:14" x14ac:dyDescent="0.25">
      <c r="A173" s="8">
        <v>164</v>
      </c>
      <c r="B173" s="8">
        <v>2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</row>
    <row r="174" spans="1:14" x14ac:dyDescent="0.25">
      <c r="A174" s="8">
        <v>165</v>
      </c>
      <c r="B174" s="8">
        <v>2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</row>
    <row r="175" spans="1:14" x14ac:dyDescent="0.25">
      <c r="A175" s="8">
        <v>56</v>
      </c>
      <c r="B175" s="8">
        <v>2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</row>
    <row r="176" spans="1:14" x14ac:dyDescent="0.25">
      <c r="A176" s="8">
        <v>58</v>
      </c>
      <c r="B176" s="8">
        <v>2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</row>
    <row r="177" spans="1:14" x14ac:dyDescent="0.25">
      <c r="A177" s="8">
        <v>59</v>
      </c>
      <c r="B177" s="8">
        <v>2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</row>
    <row r="178" spans="1:14" x14ac:dyDescent="0.25">
      <c r="A178" s="8">
        <v>60</v>
      </c>
      <c r="B178" s="8">
        <v>2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</row>
    <row r="179" spans="1:14" x14ac:dyDescent="0.25">
      <c r="A179" s="8">
        <v>61</v>
      </c>
      <c r="B179" s="8">
        <v>2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</row>
    <row r="180" spans="1:14" x14ac:dyDescent="0.25">
      <c r="A180" s="8">
        <v>62</v>
      </c>
      <c r="B180" s="8">
        <v>2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</row>
    <row r="181" spans="1:14" x14ac:dyDescent="0.25">
      <c r="A181" s="8">
        <v>63</v>
      </c>
      <c r="B181" s="8">
        <v>2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</row>
    <row r="182" spans="1:14" x14ac:dyDescent="0.25">
      <c r="A182" s="8">
        <v>65</v>
      </c>
      <c r="B182" s="8">
        <v>2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</row>
    <row r="183" spans="1:14" x14ac:dyDescent="0.25">
      <c r="A183" s="8">
        <v>162</v>
      </c>
      <c r="B183" s="8">
        <v>2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</row>
    <row r="184" spans="1:14" x14ac:dyDescent="0.25">
      <c r="A184" s="8">
        <v>158</v>
      </c>
      <c r="B184" s="8">
        <v>2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</row>
    <row r="185" spans="1:14" x14ac:dyDescent="0.25">
      <c r="A185" s="8">
        <v>159</v>
      </c>
      <c r="B185" s="8">
        <v>2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</row>
    <row r="186" spans="1:14" x14ac:dyDescent="0.25">
      <c r="A186" s="8">
        <v>160</v>
      </c>
      <c r="B186" s="8">
        <v>1</v>
      </c>
      <c r="C186" s="8">
        <v>28000</v>
      </c>
      <c r="D186" s="11">
        <v>0</v>
      </c>
      <c r="E186" s="11">
        <v>0</v>
      </c>
      <c r="F186" s="11">
        <v>0</v>
      </c>
      <c r="G186" s="11">
        <v>0</v>
      </c>
    </row>
    <row r="187" spans="1:14" x14ac:dyDescent="0.25">
      <c r="A187" s="8">
        <v>161</v>
      </c>
      <c r="B187" s="8">
        <v>2</v>
      </c>
      <c r="C187" s="8">
        <v>0</v>
      </c>
      <c r="D187" s="11">
        <v>0</v>
      </c>
      <c r="E187" s="11">
        <v>0</v>
      </c>
      <c r="F187" s="11">
        <v>0</v>
      </c>
      <c r="G187" s="11">
        <v>0</v>
      </c>
    </row>
    <row r="188" spans="1:14" x14ac:dyDescent="0.25">
      <c r="A188" s="8">
        <v>215</v>
      </c>
      <c r="B188" s="8">
        <v>1</v>
      </c>
      <c r="C188" s="8">
        <v>0</v>
      </c>
      <c r="D188" s="8">
        <v>5000</v>
      </c>
      <c r="E188" s="8">
        <v>0</v>
      </c>
      <c r="F188" s="8">
        <v>0</v>
      </c>
      <c r="G188" s="8">
        <v>0</v>
      </c>
    </row>
    <row r="189" spans="1:14" x14ac:dyDescent="0.25">
      <c r="A189" s="8">
        <v>57</v>
      </c>
      <c r="B189" s="8">
        <v>2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</row>
    <row r="190" spans="1:14" x14ac:dyDescent="0.25">
      <c r="A190" s="9">
        <v>166</v>
      </c>
      <c r="B190" s="9">
        <v>2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</row>
    <row r="191" spans="1:14" s="4" customFormat="1" x14ac:dyDescent="0.25">
      <c r="H191" s="3"/>
      <c r="I191" s="3"/>
      <c r="J191" s="3"/>
      <c r="K191" s="3"/>
      <c r="L191" s="3"/>
      <c r="M191" s="3"/>
      <c r="N191" s="3"/>
    </row>
    <row r="192" spans="1:14" x14ac:dyDescent="0.25">
      <c r="A192" s="10">
        <v>167</v>
      </c>
      <c r="B192" s="10">
        <v>2</v>
      </c>
      <c r="C192" s="10">
        <v>0</v>
      </c>
      <c r="D192" s="11">
        <v>0</v>
      </c>
      <c r="E192" s="11">
        <v>0</v>
      </c>
      <c r="F192" s="11">
        <v>0</v>
      </c>
      <c r="G192" s="11">
        <v>0</v>
      </c>
    </row>
    <row r="193" spans="1:14" x14ac:dyDescent="0.25">
      <c r="A193" s="8">
        <v>166</v>
      </c>
      <c r="B193" s="8">
        <v>1</v>
      </c>
      <c r="C193" s="8">
        <v>28000</v>
      </c>
      <c r="D193" s="11">
        <v>0</v>
      </c>
      <c r="E193" s="11">
        <v>0</v>
      </c>
      <c r="F193" s="11">
        <v>0</v>
      </c>
      <c r="G193" s="11">
        <v>0</v>
      </c>
    </row>
    <row r="194" spans="1:14" x14ac:dyDescent="0.25">
      <c r="A194" s="8">
        <v>64</v>
      </c>
      <c r="B194" s="8">
        <v>2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</row>
    <row r="195" spans="1:14" x14ac:dyDescent="0.25">
      <c r="A195" s="8">
        <v>228</v>
      </c>
      <c r="B195" s="8">
        <v>2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</row>
    <row r="196" spans="1:14" x14ac:dyDescent="0.25">
      <c r="A196" s="8">
        <v>315</v>
      </c>
      <c r="B196" s="8">
        <v>2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</row>
    <row r="197" spans="1:14" x14ac:dyDescent="0.25">
      <c r="A197" s="8">
        <v>268</v>
      </c>
      <c r="B197" s="8">
        <v>1</v>
      </c>
      <c r="C197" s="11">
        <v>0</v>
      </c>
      <c r="D197" s="8">
        <v>0</v>
      </c>
      <c r="E197" s="8">
        <v>3000</v>
      </c>
      <c r="F197" s="8">
        <v>0</v>
      </c>
      <c r="G197" s="8">
        <v>0</v>
      </c>
    </row>
    <row r="198" spans="1:14" x14ac:dyDescent="0.25">
      <c r="A198" s="8">
        <v>66</v>
      </c>
      <c r="B198" s="8">
        <v>2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</row>
    <row r="199" spans="1:14" x14ac:dyDescent="0.25">
      <c r="A199" s="8">
        <v>68</v>
      </c>
      <c r="B199" s="8">
        <v>1</v>
      </c>
      <c r="C199" s="8">
        <v>15000</v>
      </c>
      <c r="D199" s="11">
        <v>0</v>
      </c>
      <c r="E199" s="11">
        <v>0</v>
      </c>
      <c r="F199" s="11">
        <v>0</v>
      </c>
      <c r="G199" s="11">
        <v>0</v>
      </c>
    </row>
    <row r="200" spans="1:14" x14ac:dyDescent="0.25">
      <c r="A200" s="8">
        <v>67</v>
      </c>
      <c r="B200" s="8">
        <v>2</v>
      </c>
      <c r="C200" s="8">
        <v>0</v>
      </c>
      <c r="D200" s="11">
        <v>0</v>
      </c>
      <c r="E200" s="11">
        <v>0</v>
      </c>
      <c r="F200" s="11">
        <v>0</v>
      </c>
      <c r="G200" s="11">
        <v>0</v>
      </c>
    </row>
    <row r="201" spans="1:14" x14ac:dyDescent="0.25">
      <c r="A201" s="8">
        <v>168</v>
      </c>
      <c r="B201" s="8">
        <v>1</v>
      </c>
      <c r="C201" s="8">
        <v>10000</v>
      </c>
      <c r="D201" s="11">
        <v>0</v>
      </c>
      <c r="E201" s="11">
        <v>0</v>
      </c>
      <c r="F201" s="11">
        <v>0</v>
      </c>
      <c r="G201" s="11">
        <v>0</v>
      </c>
    </row>
    <row r="202" spans="1:14" x14ac:dyDescent="0.25">
      <c r="A202" s="9">
        <v>179</v>
      </c>
      <c r="B202" s="9">
        <v>2</v>
      </c>
      <c r="C202" s="9">
        <v>0</v>
      </c>
      <c r="D202" s="40">
        <v>0</v>
      </c>
      <c r="E202" s="40">
        <v>0</v>
      </c>
      <c r="F202" s="40">
        <v>0</v>
      </c>
      <c r="G202" s="40">
        <v>0</v>
      </c>
    </row>
    <row r="203" spans="1:14" s="4" customFormat="1" x14ac:dyDescent="0.25">
      <c r="H203" s="3"/>
      <c r="I203" s="3"/>
      <c r="J203" s="3"/>
      <c r="K203" s="3"/>
      <c r="L203" s="3"/>
      <c r="M203" s="3"/>
      <c r="N203" s="3"/>
    </row>
    <row r="204" spans="1:14" x14ac:dyDescent="0.25">
      <c r="A204" s="10">
        <v>72</v>
      </c>
      <c r="B204" s="10">
        <v>2</v>
      </c>
      <c r="C204" s="10">
        <v>0</v>
      </c>
      <c r="D204" s="11">
        <v>0</v>
      </c>
      <c r="E204" s="11">
        <v>0</v>
      </c>
      <c r="F204" s="11">
        <v>0</v>
      </c>
      <c r="G204" s="11">
        <v>0</v>
      </c>
    </row>
    <row r="205" spans="1:14" x14ac:dyDescent="0.25">
      <c r="A205" s="8">
        <v>74</v>
      </c>
      <c r="B205" s="8">
        <v>2</v>
      </c>
      <c r="C205" s="8">
        <v>0</v>
      </c>
      <c r="D205" s="11">
        <v>0</v>
      </c>
      <c r="E205" s="11">
        <v>0</v>
      </c>
      <c r="F205" s="11">
        <v>0</v>
      </c>
      <c r="G205" s="11">
        <v>0</v>
      </c>
    </row>
    <row r="206" spans="1:14" x14ac:dyDescent="0.25">
      <c r="A206" s="8">
        <v>176</v>
      </c>
      <c r="B206" s="8">
        <v>1</v>
      </c>
      <c r="C206" s="8">
        <v>10000</v>
      </c>
      <c r="D206" s="11">
        <v>0</v>
      </c>
      <c r="E206" s="11">
        <v>0</v>
      </c>
      <c r="F206" s="11">
        <v>0</v>
      </c>
      <c r="G206" s="11">
        <v>0</v>
      </c>
    </row>
    <row r="207" spans="1:14" x14ac:dyDescent="0.25">
      <c r="A207" s="8">
        <v>175</v>
      </c>
      <c r="B207" s="8">
        <v>1</v>
      </c>
      <c r="C207" s="8">
        <v>10000</v>
      </c>
      <c r="D207" s="11">
        <v>0</v>
      </c>
      <c r="E207" s="11">
        <v>0</v>
      </c>
      <c r="F207" s="11">
        <v>0</v>
      </c>
      <c r="G207" s="11">
        <v>0</v>
      </c>
    </row>
    <row r="208" spans="1:14" x14ac:dyDescent="0.25">
      <c r="A208" s="8">
        <v>174</v>
      </c>
      <c r="B208" s="8">
        <v>2</v>
      </c>
      <c r="C208" s="8">
        <v>0</v>
      </c>
      <c r="D208" s="11">
        <v>0</v>
      </c>
      <c r="E208" s="11">
        <v>0</v>
      </c>
      <c r="F208" s="11">
        <v>0</v>
      </c>
      <c r="G208" s="11">
        <v>0</v>
      </c>
    </row>
    <row r="209" spans="1:14" x14ac:dyDescent="0.25">
      <c r="A209" s="8">
        <v>173</v>
      </c>
      <c r="B209" s="8">
        <v>2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</row>
    <row r="210" spans="1:14" x14ac:dyDescent="0.25">
      <c r="A210" s="8">
        <v>172</v>
      </c>
      <c r="B210" s="8">
        <v>1</v>
      </c>
      <c r="C210" s="8">
        <v>23000</v>
      </c>
      <c r="D210" s="11">
        <v>0</v>
      </c>
      <c r="E210" s="11">
        <v>0</v>
      </c>
      <c r="F210" s="11">
        <v>0</v>
      </c>
      <c r="G210" s="11">
        <v>0</v>
      </c>
    </row>
    <row r="211" spans="1:14" x14ac:dyDescent="0.25">
      <c r="A211" s="8">
        <v>171</v>
      </c>
      <c r="B211" s="8">
        <v>1</v>
      </c>
      <c r="C211" s="8">
        <v>2000</v>
      </c>
      <c r="D211" s="11">
        <v>0</v>
      </c>
      <c r="E211" s="11">
        <v>0</v>
      </c>
      <c r="F211" s="11">
        <v>0</v>
      </c>
      <c r="G211" s="11">
        <v>0</v>
      </c>
    </row>
    <row r="212" spans="1:14" x14ac:dyDescent="0.25">
      <c r="A212" s="8">
        <v>71</v>
      </c>
      <c r="B212" s="8">
        <v>2</v>
      </c>
      <c r="C212" s="8">
        <v>0</v>
      </c>
      <c r="D212" s="11">
        <v>0</v>
      </c>
      <c r="E212" s="11">
        <v>0</v>
      </c>
      <c r="F212" s="11">
        <v>0</v>
      </c>
      <c r="G212" s="11">
        <v>0</v>
      </c>
    </row>
    <row r="213" spans="1:14" x14ac:dyDescent="0.25">
      <c r="A213" s="8">
        <v>70</v>
      </c>
      <c r="B213" s="8">
        <v>2</v>
      </c>
      <c r="C213" s="8">
        <v>0</v>
      </c>
      <c r="D213" s="11">
        <v>0</v>
      </c>
      <c r="E213" s="11">
        <v>0</v>
      </c>
      <c r="F213" s="11">
        <v>0</v>
      </c>
      <c r="G213" s="11">
        <v>0</v>
      </c>
    </row>
    <row r="214" spans="1:14" x14ac:dyDescent="0.25">
      <c r="A214" s="8">
        <v>69</v>
      </c>
      <c r="B214" s="8">
        <v>2</v>
      </c>
      <c r="C214" s="8">
        <v>0</v>
      </c>
      <c r="D214" s="40">
        <v>0</v>
      </c>
      <c r="E214" s="40">
        <v>0</v>
      </c>
      <c r="F214" s="40">
        <v>0</v>
      </c>
      <c r="G214" s="40">
        <v>0</v>
      </c>
    </row>
    <row r="215" spans="1:14" x14ac:dyDescent="0.25">
      <c r="A215" s="8">
        <v>177</v>
      </c>
      <c r="B215" s="8">
        <v>1</v>
      </c>
      <c r="C215" s="8">
        <v>40000</v>
      </c>
      <c r="D215" s="8">
        <v>0</v>
      </c>
      <c r="E215" s="8">
        <v>0</v>
      </c>
      <c r="F215" s="8">
        <v>0</v>
      </c>
      <c r="G215" s="8">
        <v>0</v>
      </c>
    </row>
    <row r="216" spans="1:14" x14ac:dyDescent="0.25">
      <c r="A216" s="8">
        <v>75</v>
      </c>
      <c r="B216" s="8">
        <v>2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</row>
    <row r="217" spans="1:14" x14ac:dyDescent="0.25">
      <c r="A217" s="9">
        <v>73</v>
      </c>
      <c r="B217" s="9">
        <v>2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</row>
    <row r="218" spans="1:14" s="4" customFormat="1" x14ac:dyDescent="0.25">
      <c r="H218" s="3"/>
      <c r="I218" s="3"/>
      <c r="J218" s="3"/>
      <c r="K218" s="3"/>
      <c r="L218" s="3"/>
      <c r="M218" s="3"/>
      <c r="N218" s="3"/>
    </row>
    <row r="219" spans="1:14" x14ac:dyDescent="0.25">
      <c r="A219" s="10">
        <v>216</v>
      </c>
      <c r="B219" s="10">
        <v>1</v>
      </c>
      <c r="C219" s="10">
        <v>25000</v>
      </c>
      <c r="D219" s="11">
        <v>0</v>
      </c>
      <c r="E219" s="11">
        <v>0</v>
      </c>
      <c r="F219" s="11">
        <v>0</v>
      </c>
      <c r="G219" s="11">
        <v>0</v>
      </c>
    </row>
    <row r="220" spans="1:14" x14ac:dyDescent="0.25">
      <c r="A220" s="8">
        <v>217</v>
      </c>
      <c r="B220" s="8">
        <v>1</v>
      </c>
      <c r="C220" s="8">
        <v>10000</v>
      </c>
      <c r="D220" s="11">
        <v>0</v>
      </c>
      <c r="E220" s="11">
        <v>0</v>
      </c>
      <c r="F220" s="11">
        <v>0</v>
      </c>
      <c r="G220" s="11">
        <v>0</v>
      </c>
    </row>
    <row r="221" spans="1:14" x14ac:dyDescent="0.25">
      <c r="A221" s="8">
        <v>218</v>
      </c>
      <c r="B221" s="8">
        <v>2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</row>
    <row r="222" spans="1:14" x14ac:dyDescent="0.25">
      <c r="A222" s="8">
        <v>81</v>
      </c>
      <c r="B222" s="8">
        <v>2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</row>
    <row r="223" spans="1:14" x14ac:dyDescent="0.25">
      <c r="A223" s="8">
        <v>82</v>
      </c>
      <c r="B223" s="8">
        <v>2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</row>
    <row r="224" spans="1:14" x14ac:dyDescent="0.25">
      <c r="A224" s="8">
        <v>83</v>
      </c>
      <c r="B224" s="8">
        <v>2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</row>
    <row r="225" spans="1:7" x14ac:dyDescent="0.25">
      <c r="A225" s="8">
        <v>84</v>
      </c>
      <c r="B225" s="8">
        <v>2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</row>
    <row r="226" spans="1:7" x14ac:dyDescent="0.25">
      <c r="A226" s="8">
        <v>85</v>
      </c>
      <c r="B226" s="8">
        <v>2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</row>
    <row r="227" spans="1:7" x14ac:dyDescent="0.25">
      <c r="A227" s="8">
        <v>86</v>
      </c>
      <c r="B227" s="8">
        <v>2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</row>
    <row r="228" spans="1:7" x14ac:dyDescent="0.25">
      <c r="A228" s="8">
        <v>87</v>
      </c>
      <c r="B228" s="8">
        <v>2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</row>
    <row r="229" spans="1:7" x14ac:dyDescent="0.25">
      <c r="A229" s="8">
        <v>88</v>
      </c>
      <c r="B229" s="8">
        <v>1</v>
      </c>
      <c r="C229" s="8">
        <v>30000</v>
      </c>
      <c r="D229" s="40">
        <v>0</v>
      </c>
      <c r="E229" s="40">
        <v>0</v>
      </c>
      <c r="F229" s="40">
        <v>0</v>
      </c>
      <c r="G229" s="40">
        <v>0</v>
      </c>
    </row>
    <row r="230" spans="1:7" x14ac:dyDescent="0.25">
      <c r="A230" s="8">
        <v>89</v>
      </c>
      <c r="B230" s="8">
        <v>2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</row>
    <row r="231" spans="1:7" x14ac:dyDescent="0.25">
      <c r="A231" s="8">
        <v>90</v>
      </c>
      <c r="B231" s="8">
        <v>2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</row>
    <row r="232" spans="1:7" x14ac:dyDescent="0.25">
      <c r="A232" s="8">
        <v>91</v>
      </c>
      <c r="B232" s="8">
        <v>2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</row>
    <row r="233" spans="1:7" x14ac:dyDescent="0.25">
      <c r="A233" s="8">
        <v>92</v>
      </c>
      <c r="B233" s="8">
        <v>2</v>
      </c>
      <c r="C233" s="8">
        <v>0</v>
      </c>
      <c r="D233" s="6">
        <v>0</v>
      </c>
      <c r="E233" s="6">
        <v>0</v>
      </c>
      <c r="F233" s="6">
        <v>0</v>
      </c>
      <c r="G233" s="6">
        <v>0</v>
      </c>
    </row>
    <row r="234" spans="1:7" x14ac:dyDescent="0.25">
      <c r="A234" s="8">
        <v>93</v>
      </c>
      <c r="B234" s="8">
        <v>2</v>
      </c>
      <c r="C234" s="8">
        <v>0</v>
      </c>
      <c r="D234" s="11">
        <v>0</v>
      </c>
      <c r="E234" s="11">
        <v>0</v>
      </c>
      <c r="F234" s="11">
        <v>0</v>
      </c>
      <c r="G234" s="11">
        <v>0</v>
      </c>
    </row>
    <row r="235" spans="1:7" x14ac:dyDescent="0.25">
      <c r="A235" s="8">
        <v>94</v>
      </c>
      <c r="B235" s="8">
        <v>2</v>
      </c>
      <c r="C235" s="8">
        <v>0</v>
      </c>
      <c r="D235" s="41">
        <v>0</v>
      </c>
      <c r="E235" s="6">
        <v>0</v>
      </c>
      <c r="F235" s="42">
        <v>0</v>
      </c>
      <c r="G235" s="11">
        <v>0</v>
      </c>
    </row>
    <row r="236" spans="1:7" x14ac:dyDescent="0.25">
      <c r="A236" s="8">
        <v>95</v>
      </c>
      <c r="B236" s="8">
        <v>1</v>
      </c>
      <c r="C236" s="8">
        <v>46000</v>
      </c>
      <c r="D236" s="41">
        <v>0</v>
      </c>
      <c r="E236" s="6">
        <v>0</v>
      </c>
      <c r="F236" s="42">
        <v>0</v>
      </c>
      <c r="G236" s="11">
        <v>0</v>
      </c>
    </row>
    <row r="237" spans="1:7" x14ac:dyDescent="0.25">
      <c r="A237" s="8">
        <v>184</v>
      </c>
      <c r="B237" s="8">
        <v>2</v>
      </c>
      <c r="C237" s="8">
        <v>0</v>
      </c>
      <c r="D237" s="41">
        <v>0</v>
      </c>
      <c r="E237" s="6">
        <v>0</v>
      </c>
      <c r="F237" s="42">
        <v>0</v>
      </c>
      <c r="G237" s="11">
        <v>0</v>
      </c>
    </row>
    <row r="238" spans="1:7" x14ac:dyDescent="0.25">
      <c r="A238" s="8">
        <v>185</v>
      </c>
      <c r="B238" s="8">
        <v>2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</row>
    <row r="239" spans="1:7" x14ac:dyDescent="0.25">
      <c r="A239" s="8">
        <v>186</v>
      </c>
      <c r="B239" s="8">
        <v>2</v>
      </c>
      <c r="C239" s="8">
        <v>0</v>
      </c>
      <c r="D239" s="11">
        <v>0</v>
      </c>
      <c r="E239" s="11">
        <v>0</v>
      </c>
      <c r="F239" s="11">
        <v>0</v>
      </c>
      <c r="G239" s="11">
        <v>0</v>
      </c>
    </row>
    <row r="240" spans="1:7" x14ac:dyDescent="0.25">
      <c r="A240" s="8">
        <v>187</v>
      </c>
      <c r="B240" s="8">
        <v>2</v>
      </c>
      <c r="C240" s="8">
        <v>0</v>
      </c>
      <c r="D240" s="11">
        <v>0</v>
      </c>
      <c r="E240" s="11">
        <v>0</v>
      </c>
      <c r="F240" s="11">
        <v>0</v>
      </c>
      <c r="G240" s="11">
        <v>0</v>
      </c>
    </row>
    <row r="241" spans="1:14" x14ac:dyDescent="0.25">
      <c r="A241" s="8">
        <v>188</v>
      </c>
      <c r="B241" s="8">
        <v>1</v>
      </c>
      <c r="C241" s="8">
        <v>30000</v>
      </c>
      <c r="D241" s="11">
        <v>0</v>
      </c>
      <c r="E241" s="11">
        <v>0</v>
      </c>
      <c r="F241" s="11">
        <v>0</v>
      </c>
      <c r="G241" s="11">
        <v>0</v>
      </c>
    </row>
    <row r="242" spans="1:14" x14ac:dyDescent="0.25">
      <c r="A242" s="8">
        <v>189</v>
      </c>
      <c r="B242" s="8">
        <v>2</v>
      </c>
      <c r="C242" s="8">
        <v>0</v>
      </c>
      <c r="D242" s="11">
        <v>0</v>
      </c>
      <c r="E242" s="11">
        <v>0</v>
      </c>
      <c r="F242" s="11">
        <v>0</v>
      </c>
      <c r="G242" s="11">
        <v>0</v>
      </c>
    </row>
    <row r="243" spans="1:14" x14ac:dyDescent="0.25">
      <c r="A243" s="8">
        <v>190</v>
      </c>
      <c r="B243" s="8">
        <v>2</v>
      </c>
      <c r="C243" s="8">
        <v>0</v>
      </c>
      <c r="D243" s="40">
        <v>0</v>
      </c>
      <c r="E243" s="40">
        <v>0</v>
      </c>
      <c r="F243" s="40">
        <v>0</v>
      </c>
      <c r="G243" s="40">
        <v>0</v>
      </c>
    </row>
    <row r="244" spans="1:14" x14ac:dyDescent="0.25">
      <c r="A244" s="8">
        <v>191</v>
      </c>
      <c r="B244" s="8">
        <v>1</v>
      </c>
      <c r="C244" s="8">
        <v>28000</v>
      </c>
      <c r="D244" s="8">
        <v>0</v>
      </c>
      <c r="E244" s="8">
        <v>0</v>
      </c>
      <c r="F244" s="8">
        <v>0</v>
      </c>
      <c r="G244" s="8">
        <v>0</v>
      </c>
    </row>
    <row r="245" spans="1:14" x14ac:dyDescent="0.25">
      <c r="A245" s="8">
        <v>192</v>
      </c>
      <c r="B245" s="8">
        <v>2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</row>
    <row r="246" spans="1:14" x14ac:dyDescent="0.25">
      <c r="A246" s="8">
        <v>193</v>
      </c>
      <c r="B246" s="8">
        <v>1</v>
      </c>
      <c r="C246" s="8">
        <v>10000</v>
      </c>
      <c r="D246" s="9">
        <v>0</v>
      </c>
      <c r="E246" s="9">
        <v>0</v>
      </c>
      <c r="F246" s="9">
        <v>0</v>
      </c>
      <c r="G246" s="9">
        <v>0</v>
      </c>
    </row>
    <row r="247" spans="1:14" x14ac:dyDescent="0.25">
      <c r="A247" s="9" t="s">
        <v>72</v>
      </c>
      <c r="B247" s="9">
        <v>2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</row>
    <row r="248" spans="1:14" s="4" customFormat="1" x14ac:dyDescent="0.25">
      <c r="H248" s="3"/>
      <c r="I248" s="3"/>
      <c r="J248" s="3"/>
      <c r="K248" s="3"/>
      <c r="L248" s="3"/>
      <c r="M248" s="3"/>
      <c r="N248" s="3"/>
    </row>
    <row r="249" spans="1:14" x14ac:dyDescent="0.25">
      <c r="A249" s="10">
        <v>219</v>
      </c>
      <c r="B249" s="10">
        <v>1</v>
      </c>
      <c r="C249" s="10">
        <v>10000</v>
      </c>
      <c r="D249" s="11">
        <v>0</v>
      </c>
      <c r="E249" s="11">
        <v>0</v>
      </c>
      <c r="F249" s="11">
        <v>0</v>
      </c>
      <c r="G249" s="10">
        <v>4000</v>
      </c>
    </row>
    <row r="250" spans="1:14" x14ac:dyDescent="0.25">
      <c r="A250" s="8">
        <v>306</v>
      </c>
      <c r="B250" s="8">
        <v>2</v>
      </c>
      <c r="C250" s="11">
        <v>0</v>
      </c>
      <c r="D250" s="6">
        <v>0</v>
      </c>
      <c r="E250" s="6">
        <v>0</v>
      </c>
      <c r="F250" s="6">
        <v>0</v>
      </c>
      <c r="G250" s="11">
        <v>0</v>
      </c>
    </row>
    <row r="251" spans="1:14" x14ac:dyDescent="0.25">
      <c r="A251" s="8">
        <v>220</v>
      </c>
      <c r="B251" s="8">
        <v>1</v>
      </c>
      <c r="C251" s="8">
        <f>150000/12</f>
        <v>12500</v>
      </c>
      <c r="D251" s="6">
        <v>0</v>
      </c>
      <c r="E251" s="6">
        <v>0</v>
      </c>
      <c r="F251" s="6">
        <v>0</v>
      </c>
      <c r="G251" s="6">
        <v>0</v>
      </c>
    </row>
    <row r="252" spans="1:14" x14ac:dyDescent="0.25">
      <c r="A252" s="8">
        <v>307</v>
      </c>
      <c r="B252" s="8">
        <v>2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</row>
    <row r="253" spans="1:14" x14ac:dyDescent="0.25">
      <c r="A253" s="8">
        <v>268</v>
      </c>
      <c r="B253" s="8">
        <v>2</v>
      </c>
      <c r="C253" s="6">
        <v>0</v>
      </c>
      <c r="D253" s="8">
        <v>0</v>
      </c>
      <c r="E253" s="8">
        <v>0</v>
      </c>
      <c r="F253" s="8">
        <v>0</v>
      </c>
      <c r="G253" s="6">
        <v>0</v>
      </c>
    </row>
    <row r="254" spans="1:14" x14ac:dyDescent="0.25">
      <c r="A254" s="8">
        <v>221</v>
      </c>
      <c r="B254" s="8">
        <v>1</v>
      </c>
      <c r="C254" s="8">
        <v>9000</v>
      </c>
      <c r="D254" s="11">
        <v>0</v>
      </c>
      <c r="E254" s="11">
        <v>0</v>
      </c>
      <c r="F254" s="11">
        <v>0</v>
      </c>
      <c r="G254" s="8">
        <v>0</v>
      </c>
    </row>
    <row r="255" spans="1:14" x14ac:dyDescent="0.25">
      <c r="A255" s="8">
        <v>222</v>
      </c>
      <c r="B255" s="8">
        <v>1</v>
      </c>
      <c r="C255" s="8">
        <v>5000</v>
      </c>
      <c r="D255" s="11">
        <v>0</v>
      </c>
      <c r="E255" s="11">
        <v>0</v>
      </c>
      <c r="F255" s="11">
        <v>0</v>
      </c>
      <c r="G255" s="11">
        <v>0</v>
      </c>
    </row>
    <row r="256" spans="1:14" x14ac:dyDescent="0.25">
      <c r="A256" s="8">
        <v>223</v>
      </c>
      <c r="B256" s="8">
        <v>2</v>
      </c>
      <c r="C256" s="6">
        <v>0</v>
      </c>
      <c r="D256" s="11">
        <v>0</v>
      </c>
      <c r="E256" s="11">
        <v>0</v>
      </c>
      <c r="F256" s="11">
        <v>0</v>
      </c>
      <c r="G256" s="11">
        <v>0</v>
      </c>
    </row>
    <row r="257" spans="1:14" x14ac:dyDescent="0.25">
      <c r="A257" s="8">
        <v>224</v>
      </c>
      <c r="B257" s="8">
        <v>2</v>
      </c>
      <c r="C257" s="6">
        <v>0</v>
      </c>
      <c r="D257" s="11">
        <v>0</v>
      </c>
      <c r="E257" s="11">
        <v>0</v>
      </c>
      <c r="F257" s="11">
        <v>0</v>
      </c>
      <c r="G257" s="11">
        <v>0</v>
      </c>
    </row>
    <row r="258" spans="1:14" x14ac:dyDescent="0.25">
      <c r="A258" s="8">
        <v>225</v>
      </c>
      <c r="B258" s="8">
        <v>1</v>
      </c>
      <c r="C258" s="8">
        <v>30000</v>
      </c>
      <c r="D258" s="6">
        <v>0</v>
      </c>
      <c r="E258" s="40">
        <v>0</v>
      </c>
      <c r="F258" s="40">
        <v>0</v>
      </c>
      <c r="G258" s="11">
        <v>0</v>
      </c>
    </row>
    <row r="259" spans="1:14" x14ac:dyDescent="0.25">
      <c r="A259" s="8">
        <v>308</v>
      </c>
      <c r="B259" s="8">
        <v>2</v>
      </c>
      <c r="C259" s="8">
        <v>0</v>
      </c>
      <c r="D259" s="6">
        <v>0</v>
      </c>
      <c r="E259" s="6">
        <v>0</v>
      </c>
      <c r="F259" s="6">
        <v>0</v>
      </c>
      <c r="G259" s="6">
        <v>0</v>
      </c>
    </row>
    <row r="260" spans="1:14" x14ac:dyDescent="0.25">
      <c r="A260" s="8">
        <v>309</v>
      </c>
      <c r="B260" s="8">
        <v>1</v>
      </c>
      <c r="C260" s="8">
        <v>15000</v>
      </c>
      <c r="D260" s="6">
        <v>0</v>
      </c>
      <c r="E260" s="6">
        <v>0</v>
      </c>
      <c r="F260" s="6">
        <v>0</v>
      </c>
      <c r="G260" s="6">
        <v>0</v>
      </c>
    </row>
    <row r="261" spans="1:14" x14ac:dyDescent="0.25">
      <c r="A261" s="8">
        <v>310</v>
      </c>
      <c r="B261" s="8">
        <v>2</v>
      </c>
      <c r="C261" s="6">
        <v>0</v>
      </c>
      <c r="D261" s="8">
        <v>0</v>
      </c>
      <c r="E261" s="8">
        <v>0</v>
      </c>
      <c r="F261" s="8">
        <v>0</v>
      </c>
      <c r="G261" s="8">
        <v>0</v>
      </c>
    </row>
    <row r="262" spans="1:14" x14ac:dyDescent="0.25">
      <c r="A262" s="8">
        <v>311</v>
      </c>
      <c r="B262" s="8">
        <v>2</v>
      </c>
      <c r="C262" s="6">
        <v>0</v>
      </c>
      <c r="D262" s="11">
        <v>0</v>
      </c>
      <c r="E262" s="11">
        <v>0</v>
      </c>
      <c r="F262" s="11">
        <v>0</v>
      </c>
      <c r="G262" s="11">
        <v>0</v>
      </c>
    </row>
    <row r="263" spans="1:14" x14ac:dyDescent="0.25">
      <c r="A263" s="9">
        <v>312</v>
      </c>
      <c r="B263" s="9">
        <v>2</v>
      </c>
      <c r="C263" s="9">
        <v>0</v>
      </c>
      <c r="D263" s="40">
        <v>0</v>
      </c>
      <c r="E263" s="40">
        <v>0</v>
      </c>
      <c r="F263" s="40">
        <v>0</v>
      </c>
      <c r="G263" s="40">
        <v>0</v>
      </c>
    </row>
    <row r="264" spans="1:14" s="4" customFormat="1" x14ac:dyDescent="0.25">
      <c r="H264" s="3"/>
      <c r="I264" s="3"/>
      <c r="J264" s="3"/>
      <c r="K264" s="3"/>
      <c r="L264" s="3"/>
      <c r="M264" s="3"/>
      <c r="N264" s="3"/>
    </row>
    <row r="265" spans="1:14" x14ac:dyDescent="0.25">
      <c r="A265" s="10">
        <v>194</v>
      </c>
      <c r="B265" s="10">
        <v>2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</row>
    <row r="266" spans="1:14" x14ac:dyDescent="0.25">
      <c r="A266" s="8">
        <v>195</v>
      </c>
      <c r="B266" s="8">
        <v>2</v>
      </c>
      <c r="C266" s="11">
        <v>0</v>
      </c>
      <c r="D266" s="11">
        <v>0</v>
      </c>
      <c r="E266" s="6">
        <v>0</v>
      </c>
      <c r="F266" s="6">
        <v>0</v>
      </c>
      <c r="G266" s="6">
        <v>0</v>
      </c>
    </row>
    <row r="267" spans="1:14" x14ac:dyDescent="0.25">
      <c r="A267" s="8">
        <v>181</v>
      </c>
      <c r="B267" s="8">
        <v>2</v>
      </c>
      <c r="C267" s="11">
        <v>0</v>
      </c>
      <c r="D267" s="11">
        <v>0</v>
      </c>
      <c r="E267" s="6">
        <v>0</v>
      </c>
      <c r="F267" s="6">
        <v>0</v>
      </c>
      <c r="G267" s="6">
        <v>0</v>
      </c>
    </row>
    <row r="268" spans="1:14" x14ac:dyDescent="0.25">
      <c r="A268" s="8">
        <v>183</v>
      </c>
      <c r="B268" s="8">
        <v>2</v>
      </c>
      <c r="C268" s="11">
        <v>0</v>
      </c>
      <c r="D268" s="11">
        <v>0</v>
      </c>
      <c r="E268" s="6">
        <v>0</v>
      </c>
      <c r="F268" s="6">
        <v>0</v>
      </c>
      <c r="G268" s="6">
        <v>0</v>
      </c>
    </row>
    <row r="269" spans="1:14" x14ac:dyDescent="0.25">
      <c r="A269" s="8">
        <v>180</v>
      </c>
      <c r="B269" s="8">
        <v>2</v>
      </c>
      <c r="C269" s="11">
        <v>0</v>
      </c>
      <c r="D269" s="11">
        <v>0</v>
      </c>
      <c r="E269" s="8">
        <v>0</v>
      </c>
      <c r="F269" s="8">
        <v>0</v>
      </c>
      <c r="G269" s="8">
        <v>0</v>
      </c>
    </row>
    <row r="270" spans="1:14" x14ac:dyDescent="0.25">
      <c r="A270" s="8">
        <v>178</v>
      </c>
      <c r="B270" s="8">
        <v>1</v>
      </c>
      <c r="C270" s="8">
        <v>20000</v>
      </c>
      <c r="D270" s="11">
        <v>0</v>
      </c>
      <c r="E270" s="11">
        <v>0</v>
      </c>
      <c r="F270" s="11">
        <v>0</v>
      </c>
      <c r="G270" s="11">
        <v>0</v>
      </c>
    </row>
    <row r="271" spans="1:14" x14ac:dyDescent="0.25">
      <c r="A271" s="8">
        <v>179</v>
      </c>
      <c r="B271" s="8">
        <v>2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</row>
    <row r="272" spans="1:14" x14ac:dyDescent="0.25">
      <c r="A272" s="8">
        <v>182</v>
      </c>
      <c r="B272" s="8">
        <v>1</v>
      </c>
      <c r="C272" s="8">
        <v>15000</v>
      </c>
      <c r="D272" s="11">
        <v>0</v>
      </c>
      <c r="E272" s="11">
        <v>0</v>
      </c>
      <c r="F272" s="11">
        <v>0</v>
      </c>
      <c r="G272" s="11">
        <v>0</v>
      </c>
    </row>
    <row r="273" spans="1:14" x14ac:dyDescent="0.25">
      <c r="A273" s="8">
        <v>79</v>
      </c>
      <c r="B273" s="8">
        <v>2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</row>
    <row r="274" spans="1:14" x14ac:dyDescent="0.25">
      <c r="A274" s="8">
        <v>80</v>
      </c>
      <c r="B274" s="8">
        <v>1</v>
      </c>
      <c r="C274" s="11">
        <v>0</v>
      </c>
      <c r="D274" s="6">
        <v>0</v>
      </c>
      <c r="E274" s="8">
        <v>30000</v>
      </c>
      <c r="F274" s="6">
        <v>0</v>
      </c>
      <c r="G274" s="6">
        <v>0</v>
      </c>
    </row>
    <row r="275" spans="1:14" x14ac:dyDescent="0.25">
      <c r="A275" s="8">
        <v>77</v>
      </c>
      <c r="B275" s="8">
        <v>2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</row>
    <row r="276" spans="1:14" x14ac:dyDescent="0.25">
      <c r="A276" s="8">
        <v>78</v>
      </c>
      <c r="B276" s="8">
        <v>2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</row>
    <row r="277" spans="1:14" x14ac:dyDescent="0.25">
      <c r="A277" s="8">
        <v>76</v>
      </c>
      <c r="B277" s="8">
        <v>2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</row>
    <row r="278" spans="1:14" x14ac:dyDescent="0.25">
      <c r="A278" s="8">
        <v>94</v>
      </c>
      <c r="B278" s="8">
        <v>2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</row>
    <row r="279" spans="1:14" x14ac:dyDescent="0.25">
      <c r="A279" s="9">
        <v>93</v>
      </c>
      <c r="B279" s="9">
        <v>2</v>
      </c>
      <c r="C279" s="40">
        <v>0</v>
      </c>
      <c r="D279" s="40">
        <v>0</v>
      </c>
      <c r="E279" s="40">
        <v>0</v>
      </c>
      <c r="F279" s="40">
        <v>0</v>
      </c>
      <c r="G279" s="40">
        <v>0</v>
      </c>
    </row>
    <row r="280" spans="1:14" s="4" customFormat="1" x14ac:dyDescent="0.25">
      <c r="H280" s="3"/>
      <c r="I280" s="3"/>
      <c r="J280" s="3"/>
      <c r="K280" s="3"/>
      <c r="L280" s="3"/>
      <c r="M280" s="3"/>
      <c r="N280" s="3"/>
    </row>
    <row r="288" spans="1:14" s="5" customFormat="1" x14ac:dyDescent="0.25">
      <c r="A288" s="3"/>
    </row>
    <row r="289" s="5" customFormat="1" ht="17.25" customHeight="1" x14ac:dyDescent="0.25"/>
  </sheetData>
  <pageMargins left="0.7" right="0.7" top="0.75" bottom="0.75" header="0.3" footer="0.3"/>
  <pageSetup paperSize="9" orientation="portrait" r:id="rId1"/>
  <headerFooter>
    <oddHeader>&amp;C&amp;"Century,Regular"&amp;10Annexure 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view="pageLayout" topLeftCell="A181" zoomScaleNormal="100" workbookViewId="0">
      <selection activeCell="E199" sqref="E199"/>
    </sheetView>
  </sheetViews>
  <sheetFormatPr defaultRowHeight="15" x14ac:dyDescent="0.25"/>
  <cols>
    <col min="2" max="2" width="6.85546875" customWidth="1"/>
    <col min="3" max="3" width="7.28515625" customWidth="1"/>
    <col min="4" max="4" width="7.85546875" customWidth="1"/>
    <col min="5" max="5" width="8.28515625" customWidth="1"/>
    <col min="6" max="6" width="6.7109375" customWidth="1"/>
    <col min="7" max="7" width="6" customWidth="1"/>
    <col min="8" max="8" width="7.140625" customWidth="1"/>
    <col min="9" max="9" width="9.28515625" customWidth="1"/>
    <col min="10" max="10" width="9.140625" customWidth="1"/>
    <col min="11" max="11" width="7" customWidth="1"/>
    <col min="12" max="14" width="9.140625" style="5"/>
  </cols>
  <sheetData>
    <row r="1" spans="1:11" ht="63" customHeight="1" x14ac:dyDescent="0.25">
      <c r="A1" s="37" t="s">
        <v>3</v>
      </c>
      <c r="B1" s="38" t="s">
        <v>53</v>
      </c>
      <c r="C1" s="38" t="s">
        <v>54</v>
      </c>
      <c r="D1" s="38" t="s">
        <v>55</v>
      </c>
      <c r="E1" s="38" t="s">
        <v>56</v>
      </c>
      <c r="F1" s="38" t="s">
        <v>57</v>
      </c>
      <c r="G1" s="38" t="s">
        <v>58</v>
      </c>
      <c r="H1" s="38" t="s">
        <v>59</v>
      </c>
      <c r="I1" s="38" t="s">
        <v>62</v>
      </c>
      <c r="J1" s="38" t="s">
        <v>60</v>
      </c>
      <c r="K1" s="38" t="s">
        <v>61</v>
      </c>
    </row>
    <row r="2" spans="1:11" s="5" customFormat="1" x14ac:dyDescent="0.25">
      <c r="A2" s="6">
        <v>206</v>
      </c>
      <c r="B2" s="6">
        <v>10000</v>
      </c>
      <c r="C2" s="6">
        <f>15000/12</f>
        <v>1250</v>
      </c>
      <c r="D2" s="6">
        <v>0</v>
      </c>
      <c r="E2" s="6">
        <v>500</v>
      </c>
      <c r="F2" s="6">
        <v>0</v>
      </c>
      <c r="G2" s="6">
        <v>1500</v>
      </c>
      <c r="H2" s="6">
        <v>1000</v>
      </c>
      <c r="I2" s="6">
        <v>1000</v>
      </c>
      <c r="J2" s="6">
        <v>750</v>
      </c>
      <c r="K2" s="6">
        <v>0</v>
      </c>
    </row>
    <row r="3" spans="1:11" s="5" customFormat="1" x14ac:dyDescent="0.25">
      <c r="A3" s="6">
        <v>207</v>
      </c>
      <c r="B3" s="6">
        <v>5000</v>
      </c>
      <c r="C3" s="6">
        <v>0</v>
      </c>
      <c r="D3" s="6">
        <v>0</v>
      </c>
      <c r="E3" s="6">
        <v>0</v>
      </c>
      <c r="F3" s="6">
        <v>0</v>
      </c>
      <c r="G3" s="6">
        <v>500</v>
      </c>
      <c r="H3" s="6">
        <v>300</v>
      </c>
      <c r="I3" s="6">
        <v>1500</v>
      </c>
      <c r="J3" s="6">
        <v>330</v>
      </c>
      <c r="K3" s="6">
        <v>0</v>
      </c>
    </row>
    <row r="4" spans="1:11" s="5" customFormat="1" x14ac:dyDescent="0.25">
      <c r="A4" s="6" t="s">
        <v>74</v>
      </c>
      <c r="B4" s="6">
        <v>6000</v>
      </c>
      <c r="C4" s="6">
        <v>416.67</v>
      </c>
      <c r="D4" s="6">
        <v>0</v>
      </c>
      <c r="E4" s="6">
        <v>0</v>
      </c>
      <c r="F4" s="6">
        <v>0</v>
      </c>
      <c r="G4" s="6">
        <v>5000</v>
      </c>
      <c r="H4" s="6">
        <v>0</v>
      </c>
      <c r="I4" s="6">
        <v>0</v>
      </c>
      <c r="J4" s="6">
        <v>500</v>
      </c>
      <c r="K4" s="6">
        <v>2000</v>
      </c>
    </row>
    <row r="5" spans="1:11" s="5" customFormat="1" x14ac:dyDescent="0.25">
      <c r="A5" s="6">
        <v>303</v>
      </c>
      <c r="B5" s="6">
        <v>10000</v>
      </c>
      <c r="C5" s="6">
        <v>1666.67</v>
      </c>
      <c r="D5" s="6">
        <f>1050/12</f>
        <v>87.5</v>
      </c>
      <c r="E5" s="6">
        <v>0</v>
      </c>
      <c r="F5" s="6">
        <v>2000</v>
      </c>
      <c r="G5" s="6">
        <v>5000</v>
      </c>
      <c r="H5" s="6">
        <v>0</v>
      </c>
      <c r="I5" s="6">
        <v>500</v>
      </c>
      <c r="J5" s="6">
        <v>1200</v>
      </c>
      <c r="K5" s="6">
        <v>2000</v>
      </c>
    </row>
    <row r="6" spans="1:11" s="5" customFormat="1" x14ac:dyDescent="0.25">
      <c r="A6" s="6">
        <v>304</v>
      </c>
      <c r="B6" s="6">
        <v>6000</v>
      </c>
      <c r="C6" s="6">
        <v>916.67</v>
      </c>
      <c r="D6" s="6">
        <v>16.670000000000002</v>
      </c>
      <c r="E6" s="6">
        <v>0</v>
      </c>
      <c r="F6" s="6">
        <v>0</v>
      </c>
      <c r="G6" s="6">
        <v>8000</v>
      </c>
      <c r="H6" s="6">
        <v>0</v>
      </c>
      <c r="I6" s="6">
        <v>0</v>
      </c>
      <c r="J6" s="6">
        <v>7000</v>
      </c>
      <c r="K6" s="6">
        <v>4000</v>
      </c>
    </row>
    <row r="7" spans="1:11" s="5" customFormat="1" x14ac:dyDescent="0.25">
      <c r="A7" s="6">
        <v>305</v>
      </c>
      <c r="B7" s="6">
        <v>5000</v>
      </c>
      <c r="C7" s="6">
        <v>83.33</v>
      </c>
      <c r="D7" s="6">
        <f>45*3</f>
        <v>135</v>
      </c>
      <c r="E7" s="6">
        <v>0</v>
      </c>
      <c r="F7" s="6">
        <v>4000</v>
      </c>
      <c r="G7" s="6">
        <v>1000</v>
      </c>
      <c r="H7" s="6">
        <v>0</v>
      </c>
      <c r="I7" s="6">
        <v>0</v>
      </c>
      <c r="J7" s="6">
        <v>100</v>
      </c>
      <c r="K7" s="6">
        <v>2000</v>
      </c>
    </row>
    <row r="8" spans="1:11" s="5" customFormat="1" x14ac:dyDescent="0.25">
      <c r="A8" s="6">
        <v>258</v>
      </c>
      <c r="B8" s="6">
        <v>12000</v>
      </c>
      <c r="C8" s="6">
        <v>1666.67</v>
      </c>
      <c r="D8" s="6">
        <v>0</v>
      </c>
      <c r="E8" s="6">
        <v>2000</v>
      </c>
      <c r="F8" s="6">
        <v>3000</v>
      </c>
      <c r="G8" s="6">
        <v>1000</v>
      </c>
      <c r="H8" s="6">
        <v>1500</v>
      </c>
      <c r="I8" s="6">
        <v>200</v>
      </c>
      <c r="J8" s="6">
        <v>700</v>
      </c>
      <c r="K8" s="6">
        <v>2000</v>
      </c>
    </row>
    <row r="9" spans="1:11" s="5" customFormat="1" x14ac:dyDescent="0.25">
      <c r="A9" s="6">
        <v>259</v>
      </c>
      <c r="B9" s="6">
        <v>20000</v>
      </c>
      <c r="C9" s="6">
        <v>2000</v>
      </c>
      <c r="D9" s="6">
        <v>0</v>
      </c>
      <c r="E9" s="6">
        <v>0</v>
      </c>
      <c r="F9" s="6">
        <v>0</v>
      </c>
      <c r="G9" s="6">
        <v>0</v>
      </c>
      <c r="H9" s="6">
        <v>5000</v>
      </c>
      <c r="I9" s="6">
        <v>3000</v>
      </c>
      <c r="J9" s="6">
        <v>3000</v>
      </c>
      <c r="K9" s="6">
        <v>0</v>
      </c>
    </row>
    <row r="10" spans="1:11" s="5" customFormat="1" x14ac:dyDescent="0.25">
      <c r="A10" s="6">
        <v>26</v>
      </c>
      <c r="B10" s="6">
        <v>20000</v>
      </c>
      <c r="C10" s="6">
        <v>1666.67</v>
      </c>
      <c r="D10" s="6">
        <v>0</v>
      </c>
      <c r="E10" s="6">
        <v>0</v>
      </c>
      <c r="F10" s="6">
        <v>5000</v>
      </c>
      <c r="G10" s="6">
        <v>3000</v>
      </c>
      <c r="H10" s="6">
        <v>3000</v>
      </c>
      <c r="I10" s="6">
        <v>3000</v>
      </c>
      <c r="J10" s="6">
        <v>500</v>
      </c>
      <c r="K10" s="6">
        <v>5000</v>
      </c>
    </row>
    <row r="11" spans="1:11" s="5" customFormat="1" x14ac:dyDescent="0.25">
      <c r="A11" s="6">
        <v>29</v>
      </c>
      <c r="B11" s="6">
        <v>7000</v>
      </c>
      <c r="C11" s="6">
        <v>2000</v>
      </c>
      <c r="D11" s="6">
        <v>0</v>
      </c>
      <c r="E11" s="6">
        <v>0</v>
      </c>
      <c r="F11" s="6">
        <v>1000</v>
      </c>
      <c r="G11" s="6">
        <v>2000</v>
      </c>
      <c r="H11" s="6">
        <v>3000</v>
      </c>
      <c r="I11" s="6">
        <v>1000</v>
      </c>
      <c r="J11" s="6">
        <v>800</v>
      </c>
      <c r="K11" s="6">
        <v>3000</v>
      </c>
    </row>
    <row r="12" spans="1:11" s="5" customFormat="1" x14ac:dyDescent="0.25">
      <c r="A12" s="6">
        <v>127</v>
      </c>
      <c r="B12" s="6">
        <v>10000</v>
      </c>
      <c r="C12" s="6">
        <v>2000</v>
      </c>
      <c r="D12" s="6">
        <v>0</v>
      </c>
      <c r="E12" s="6">
        <v>0</v>
      </c>
      <c r="F12" s="6">
        <v>5000</v>
      </c>
      <c r="G12" s="6">
        <v>10000</v>
      </c>
      <c r="H12" s="6">
        <v>8000</v>
      </c>
      <c r="I12" s="6">
        <v>2000</v>
      </c>
      <c r="J12" s="6">
        <v>1050</v>
      </c>
      <c r="K12" s="6">
        <v>8000</v>
      </c>
    </row>
    <row r="13" spans="1:11" s="5" customFormat="1" x14ac:dyDescent="0.25">
      <c r="A13" s="6">
        <v>128</v>
      </c>
      <c r="B13" s="6">
        <v>15000</v>
      </c>
      <c r="C13" s="6">
        <v>2000</v>
      </c>
      <c r="D13" s="6">
        <v>0</v>
      </c>
      <c r="E13" s="6">
        <v>0</v>
      </c>
      <c r="F13" s="6">
        <v>0</v>
      </c>
      <c r="G13" s="6">
        <v>2000</v>
      </c>
      <c r="H13" s="6">
        <v>3000</v>
      </c>
      <c r="I13" s="6">
        <v>1000</v>
      </c>
      <c r="J13" s="6">
        <v>3000</v>
      </c>
      <c r="K13" s="6">
        <v>600</v>
      </c>
    </row>
    <row r="14" spans="1:11" s="5" customFormat="1" x14ac:dyDescent="0.25">
      <c r="A14" s="6">
        <v>126</v>
      </c>
      <c r="B14" s="6">
        <v>6000</v>
      </c>
      <c r="C14" s="6">
        <v>2000</v>
      </c>
      <c r="D14" s="6">
        <v>0</v>
      </c>
      <c r="E14" s="6">
        <v>0</v>
      </c>
      <c r="F14" s="6">
        <v>0</v>
      </c>
      <c r="G14" s="6">
        <v>500</v>
      </c>
      <c r="H14" s="6">
        <v>1000</v>
      </c>
      <c r="I14" s="6">
        <v>100</v>
      </c>
      <c r="J14" s="6">
        <v>250</v>
      </c>
      <c r="K14" s="6">
        <v>5000</v>
      </c>
    </row>
    <row r="15" spans="1:11" s="5" customFormat="1" x14ac:dyDescent="0.25">
      <c r="A15" s="6">
        <v>129</v>
      </c>
      <c r="B15" s="6">
        <v>5000</v>
      </c>
      <c r="C15" s="6">
        <v>1000</v>
      </c>
      <c r="D15" s="6">
        <v>0</v>
      </c>
      <c r="E15" s="6">
        <v>0</v>
      </c>
      <c r="F15" s="6">
        <v>0</v>
      </c>
      <c r="G15" s="6">
        <v>5000</v>
      </c>
      <c r="H15" s="6">
        <v>2000</v>
      </c>
      <c r="I15" s="6">
        <v>500</v>
      </c>
      <c r="J15" s="6">
        <v>800</v>
      </c>
      <c r="K15" s="6">
        <v>6000</v>
      </c>
    </row>
    <row r="16" spans="1:11" s="5" customFormat="1" x14ac:dyDescent="0.25">
      <c r="A16" s="7">
        <v>25</v>
      </c>
      <c r="B16" s="7">
        <v>12000</v>
      </c>
      <c r="C16" s="7">
        <v>1000</v>
      </c>
      <c r="D16" s="7">
        <v>0</v>
      </c>
      <c r="E16" s="7">
        <v>0</v>
      </c>
      <c r="F16" s="7">
        <v>0</v>
      </c>
      <c r="G16" s="7">
        <v>3000</v>
      </c>
      <c r="H16" s="7">
        <v>2000</v>
      </c>
      <c r="I16" s="7">
        <v>2000</v>
      </c>
      <c r="J16" s="7">
        <v>600</v>
      </c>
      <c r="K16" s="7">
        <v>5000</v>
      </c>
    </row>
    <row r="17" spans="1:14" s="4" customFormat="1" x14ac:dyDescent="0.25">
      <c r="L17" s="3"/>
      <c r="M17" s="3"/>
      <c r="N17" s="3"/>
    </row>
    <row r="18" spans="1:14" x14ac:dyDescent="0.25">
      <c r="A18" s="10">
        <v>110</v>
      </c>
      <c r="B18" s="10">
        <v>15000</v>
      </c>
      <c r="C18" s="10">
        <v>2000</v>
      </c>
      <c r="D18" s="10">
        <v>0</v>
      </c>
      <c r="E18" s="10">
        <v>4000</v>
      </c>
      <c r="F18" s="10">
        <v>8000</v>
      </c>
      <c r="G18" s="10">
        <v>1000</v>
      </c>
      <c r="H18" s="10">
        <v>4000</v>
      </c>
      <c r="I18" s="10">
        <v>500</v>
      </c>
      <c r="J18" s="10">
        <v>200</v>
      </c>
      <c r="K18" s="10">
        <v>500</v>
      </c>
    </row>
    <row r="19" spans="1:14" x14ac:dyDescent="0.25">
      <c r="A19" s="8">
        <v>111</v>
      </c>
      <c r="B19" s="8">
        <v>20000</v>
      </c>
      <c r="C19" s="8">
        <v>2000</v>
      </c>
      <c r="D19" s="8">
        <v>0</v>
      </c>
      <c r="E19" s="8">
        <v>9700</v>
      </c>
      <c r="F19" s="8">
        <v>10000</v>
      </c>
      <c r="G19" s="8">
        <v>2000</v>
      </c>
      <c r="H19" s="8">
        <v>6000</v>
      </c>
      <c r="I19" s="8">
        <v>500</v>
      </c>
      <c r="J19" s="8">
        <v>350</v>
      </c>
      <c r="K19" s="8">
        <v>3000</v>
      </c>
    </row>
    <row r="20" spans="1:14" x14ac:dyDescent="0.25">
      <c r="A20" s="8">
        <v>112</v>
      </c>
      <c r="B20" s="8">
        <v>15000</v>
      </c>
      <c r="C20" s="8">
        <v>5000</v>
      </c>
      <c r="D20" s="8">
        <v>0</v>
      </c>
      <c r="E20" s="8">
        <v>0</v>
      </c>
      <c r="F20" s="8">
        <v>4000</v>
      </c>
      <c r="G20" s="8">
        <v>1000</v>
      </c>
      <c r="H20" s="8">
        <v>3000</v>
      </c>
      <c r="I20" s="8">
        <v>1000</v>
      </c>
      <c r="J20" s="8">
        <v>90</v>
      </c>
      <c r="K20" s="8">
        <v>2000</v>
      </c>
    </row>
    <row r="21" spans="1:14" x14ac:dyDescent="0.25">
      <c r="A21" s="8">
        <v>113</v>
      </c>
      <c r="B21" s="8">
        <v>10000</v>
      </c>
      <c r="C21" s="8">
        <v>2000</v>
      </c>
      <c r="D21" s="8">
        <v>0</v>
      </c>
      <c r="E21" s="8">
        <v>0</v>
      </c>
      <c r="F21" s="8">
        <v>0</v>
      </c>
      <c r="G21" s="8">
        <v>5000</v>
      </c>
      <c r="H21" s="8">
        <v>6000</v>
      </c>
      <c r="I21" s="8">
        <v>800</v>
      </c>
      <c r="J21" s="8">
        <v>970</v>
      </c>
      <c r="K21" s="8">
        <v>2000</v>
      </c>
    </row>
    <row r="22" spans="1:14" x14ac:dyDescent="0.25">
      <c r="A22" s="8">
        <v>114</v>
      </c>
      <c r="B22" s="8">
        <v>10000</v>
      </c>
      <c r="C22" s="8">
        <v>1000</v>
      </c>
      <c r="D22" s="8">
        <v>0</v>
      </c>
      <c r="E22" s="8">
        <v>0</v>
      </c>
      <c r="F22" s="8">
        <v>9000</v>
      </c>
      <c r="G22" s="8">
        <v>3000</v>
      </c>
      <c r="H22" s="8">
        <v>2000</v>
      </c>
      <c r="I22" s="8">
        <v>500</v>
      </c>
      <c r="J22" s="8">
        <v>500</v>
      </c>
      <c r="K22" s="8">
        <v>2000</v>
      </c>
    </row>
    <row r="23" spans="1:14" x14ac:dyDescent="0.25">
      <c r="A23" s="8">
        <v>115</v>
      </c>
      <c r="B23" s="8">
        <v>5000</v>
      </c>
      <c r="C23" s="8">
        <v>1500</v>
      </c>
      <c r="D23" s="8">
        <v>0</v>
      </c>
      <c r="E23" s="8">
        <v>0</v>
      </c>
      <c r="F23" s="8">
        <v>25000</v>
      </c>
      <c r="G23" s="8">
        <v>700</v>
      </c>
      <c r="H23" s="8">
        <v>4000</v>
      </c>
      <c r="I23" s="8">
        <v>500</v>
      </c>
      <c r="J23" s="8">
        <v>360</v>
      </c>
      <c r="K23" s="8">
        <v>5000</v>
      </c>
    </row>
    <row r="24" spans="1:14" x14ac:dyDescent="0.25">
      <c r="A24" s="8">
        <v>116</v>
      </c>
      <c r="B24" s="8">
        <v>8000</v>
      </c>
      <c r="C24" s="8">
        <v>1000</v>
      </c>
      <c r="D24" s="8">
        <v>0</v>
      </c>
      <c r="E24" s="8">
        <v>35000</v>
      </c>
      <c r="F24" s="8">
        <v>0</v>
      </c>
      <c r="G24" s="8">
        <v>70000</v>
      </c>
      <c r="H24" s="8">
        <v>7000</v>
      </c>
      <c r="I24" s="8">
        <v>400</v>
      </c>
      <c r="J24" s="8">
        <v>375</v>
      </c>
      <c r="K24" s="8">
        <v>10000</v>
      </c>
    </row>
    <row r="25" spans="1:14" x14ac:dyDescent="0.25">
      <c r="A25" s="8">
        <v>117</v>
      </c>
      <c r="B25" s="8">
        <v>15000</v>
      </c>
      <c r="C25" s="8">
        <v>2000</v>
      </c>
      <c r="D25" s="8">
        <v>0</v>
      </c>
      <c r="E25" s="8">
        <v>0</v>
      </c>
      <c r="F25" s="8">
        <v>12000</v>
      </c>
      <c r="G25" s="8">
        <v>4000</v>
      </c>
      <c r="H25" s="8">
        <v>5000</v>
      </c>
      <c r="I25" s="8">
        <v>500</v>
      </c>
      <c r="J25" s="8">
        <v>1100</v>
      </c>
      <c r="K25" s="8">
        <v>4000</v>
      </c>
    </row>
    <row r="26" spans="1:14" x14ac:dyDescent="0.25">
      <c r="A26" s="8">
        <v>118</v>
      </c>
      <c r="B26" s="8">
        <v>4000</v>
      </c>
      <c r="C26" s="8">
        <v>1000</v>
      </c>
      <c r="D26" s="8">
        <v>0</v>
      </c>
      <c r="E26" s="8">
        <v>0</v>
      </c>
      <c r="F26" s="8">
        <v>0</v>
      </c>
      <c r="G26" s="8">
        <v>14000</v>
      </c>
      <c r="H26" s="8">
        <v>3000</v>
      </c>
      <c r="I26" s="8">
        <v>450</v>
      </c>
      <c r="J26" s="8">
        <v>0</v>
      </c>
      <c r="K26" s="8">
        <v>5000</v>
      </c>
    </row>
    <row r="27" spans="1:14" x14ac:dyDescent="0.25">
      <c r="A27" s="8">
        <v>119</v>
      </c>
      <c r="B27" s="8">
        <v>15000</v>
      </c>
      <c r="C27" s="8">
        <v>1200</v>
      </c>
      <c r="D27" s="8">
        <v>0</v>
      </c>
      <c r="E27" s="8">
        <v>0</v>
      </c>
      <c r="F27" s="8">
        <v>0</v>
      </c>
      <c r="G27" s="8">
        <v>10000</v>
      </c>
      <c r="H27" s="8">
        <v>4000</v>
      </c>
      <c r="I27" s="8">
        <v>0</v>
      </c>
      <c r="J27" s="8">
        <v>150</v>
      </c>
      <c r="K27" s="8">
        <v>4000</v>
      </c>
    </row>
    <row r="28" spans="1:14" x14ac:dyDescent="0.25">
      <c r="A28" s="8">
        <v>120</v>
      </c>
      <c r="B28" s="8">
        <v>15000</v>
      </c>
      <c r="C28" s="8">
        <v>1000</v>
      </c>
      <c r="D28" s="8">
        <v>0</v>
      </c>
      <c r="E28" s="8">
        <v>0</v>
      </c>
      <c r="F28" s="8">
        <v>2000</v>
      </c>
      <c r="G28" s="8">
        <v>5000</v>
      </c>
      <c r="H28" s="8">
        <v>3000</v>
      </c>
      <c r="I28" s="8">
        <v>500</v>
      </c>
      <c r="J28" s="8">
        <v>200</v>
      </c>
      <c r="K28" s="8">
        <v>1000</v>
      </c>
    </row>
    <row r="29" spans="1:14" x14ac:dyDescent="0.25">
      <c r="A29" s="8">
        <v>121</v>
      </c>
      <c r="B29" s="8">
        <v>15000</v>
      </c>
      <c r="C29" s="8">
        <v>1000</v>
      </c>
      <c r="D29" s="8">
        <v>0</v>
      </c>
      <c r="E29" s="8">
        <v>0</v>
      </c>
      <c r="F29" s="8">
        <v>0</v>
      </c>
      <c r="G29" s="8">
        <v>1000</v>
      </c>
      <c r="H29" s="8">
        <v>3500</v>
      </c>
      <c r="I29" s="8">
        <v>1500</v>
      </c>
      <c r="J29" s="8">
        <v>350</v>
      </c>
      <c r="K29" s="8">
        <v>4000</v>
      </c>
    </row>
    <row r="30" spans="1:14" x14ac:dyDescent="0.25">
      <c r="A30" s="8">
        <v>122</v>
      </c>
      <c r="B30" s="8">
        <v>6000</v>
      </c>
      <c r="C30" s="8">
        <v>1500</v>
      </c>
      <c r="D30" s="8">
        <v>0</v>
      </c>
      <c r="E30" s="8">
        <v>0</v>
      </c>
      <c r="F30" s="8">
        <v>8000</v>
      </c>
      <c r="G30" s="8">
        <v>2500</v>
      </c>
      <c r="H30" s="8">
        <v>3000</v>
      </c>
      <c r="I30" s="8">
        <v>1500</v>
      </c>
      <c r="J30" s="8">
        <v>570</v>
      </c>
      <c r="K30" s="8">
        <v>2000</v>
      </c>
    </row>
    <row r="31" spans="1:14" x14ac:dyDescent="0.25">
      <c r="A31" s="8">
        <v>123</v>
      </c>
      <c r="B31" s="8">
        <v>7000</v>
      </c>
      <c r="C31" s="8">
        <v>2000</v>
      </c>
      <c r="D31" s="8">
        <v>0</v>
      </c>
      <c r="E31" s="8">
        <v>0</v>
      </c>
      <c r="F31" s="8">
        <v>0</v>
      </c>
      <c r="G31" s="8">
        <v>2000</v>
      </c>
      <c r="H31" s="8">
        <v>500</v>
      </c>
      <c r="I31" s="8">
        <v>0</v>
      </c>
      <c r="J31" s="8">
        <v>200</v>
      </c>
      <c r="K31" s="8">
        <v>5000</v>
      </c>
    </row>
    <row r="32" spans="1:14" x14ac:dyDescent="0.25">
      <c r="A32" s="8">
        <v>124</v>
      </c>
      <c r="B32" s="8">
        <v>15000</v>
      </c>
      <c r="C32" s="8">
        <v>1000</v>
      </c>
      <c r="D32" s="8">
        <v>0</v>
      </c>
      <c r="E32" s="8">
        <v>5000</v>
      </c>
      <c r="F32" s="8">
        <v>0</v>
      </c>
      <c r="G32" s="8">
        <v>5000</v>
      </c>
      <c r="H32" s="8">
        <v>1500</v>
      </c>
      <c r="I32" s="8">
        <v>1500</v>
      </c>
      <c r="J32" s="8">
        <v>2200</v>
      </c>
      <c r="K32" s="8">
        <v>500</v>
      </c>
    </row>
    <row r="33" spans="1:11" x14ac:dyDescent="0.25">
      <c r="A33" s="8">
        <v>125</v>
      </c>
      <c r="B33" s="8">
        <v>20000</v>
      </c>
      <c r="C33" s="8">
        <v>2000</v>
      </c>
      <c r="D33" s="8">
        <v>0</v>
      </c>
      <c r="E33" s="8">
        <v>0</v>
      </c>
      <c r="F33" s="8">
        <v>15000</v>
      </c>
      <c r="G33" s="8">
        <v>5000</v>
      </c>
      <c r="H33" s="8">
        <v>10000</v>
      </c>
      <c r="I33" s="8">
        <v>3000</v>
      </c>
      <c r="J33" s="8">
        <v>3100</v>
      </c>
      <c r="K33" s="8">
        <v>6000</v>
      </c>
    </row>
    <row r="34" spans="1:11" x14ac:dyDescent="0.25">
      <c r="A34" s="8">
        <v>10</v>
      </c>
      <c r="B34" s="8">
        <v>15000</v>
      </c>
      <c r="C34" s="8">
        <f>20000/12</f>
        <v>1666.6666666666667</v>
      </c>
      <c r="D34" s="8">
        <v>0</v>
      </c>
      <c r="E34" s="8">
        <v>0</v>
      </c>
      <c r="F34" s="8">
        <v>5000</v>
      </c>
      <c r="G34" s="8">
        <v>3000</v>
      </c>
      <c r="H34" s="8">
        <v>2000</v>
      </c>
      <c r="I34" s="8">
        <v>1500</v>
      </c>
      <c r="J34" s="8">
        <v>500</v>
      </c>
      <c r="K34" s="8">
        <v>2500</v>
      </c>
    </row>
    <row r="35" spans="1:11" x14ac:dyDescent="0.25">
      <c r="A35" s="8">
        <v>11</v>
      </c>
      <c r="B35" s="8">
        <v>15000</v>
      </c>
      <c r="C35" s="8">
        <v>1650</v>
      </c>
      <c r="D35" s="8">
        <v>0</v>
      </c>
      <c r="E35" s="8">
        <v>0</v>
      </c>
      <c r="F35" s="8">
        <v>0</v>
      </c>
      <c r="G35" s="8">
        <v>5000</v>
      </c>
      <c r="H35" s="8">
        <v>7000</v>
      </c>
      <c r="I35" s="8">
        <v>4000</v>
      </c>
      <c r="J35" s="8">
        <v>3850</v>
      </c>
      <c r="K35" s="8">
        <v>10000</v>
      </c>
    </row>
    <row r="36" spans="1:11" x14ac:dyDescent="0.25">
      <c r="A36" s="8">
        <v>12</v>
      </c>
      <c r="B36" s="8">
        <v>20000</v>
      </c>
      <c r="C36" s="8">
        <v>2000</v>
      </c>
      <c r="D36" s="8">
        <v>0</v>
      </c>
      <c r="E36" s="8">
        <v>0</v>
      </c>
      <c r="F36" s="8">
        <v>10000</v>
      </c>
      <c r="G36" s="8">
        <v>3000</v>
      </c>
      <c r="H36" s="8">
        <v>2000</v>
      </c>
      <c r="I36" s="8">
        <v>300</v>
      </c>
      <c r="J36" s="8">
        <v>700</v>
      </c>
      <c r="K36" s="8">
        <v>5000</v>
      </c>
    </row>
    <row r="37" spans="1:11" x14ac:dyDescent="0.25">
      <c r="A37" s="8">
        <v>13</v>
      </c>
      <c r="B37" s="8">
        <v>15000</v>
      </c>
      <c r="C37" s="8">
        <v>20000</v>
      </c>
      <c r="D37" s="8">
        <v>0</v>
      </c>
      <c r="E37" s="8">
        <v>0</v>
      </c>
      <c r="F37" s="8">
        <v>15000</v>
      </c>
      <c r="G37" s="8">
        <v>3000</v>
      </c>
      <c r="H37" s="8">
        <v>4000</v>
      </c>
      <c r="I37" s="8">
        <v>2000</v>
      </c>
      <c r="J37" s="8">
        <v>900</v>
      </c>
      <c r="K37" s="8">
        <v>3000</v>
      </c>
    </row>
    <row r="38" spans="1:11" x14ac:dyDescent="0.25">
      <c r="A38" s="8">
        <v>14</v>
      </c>
      <c r="B38" s="8">
        <v>1000</v>
      </c>
      <c r="C38" s="8">
        <v>2000</v>
      </c>
      <c r="D38" s="8">
        <v>0</v>
      </c>
      <c r="E38" s="8">
        <v>20000</v>
      </c>
      <c r="F38" s="8">
        <v>4000</v>
      </c>
      <c r="G38" s="8">
        <v>3000</v>
      </c>
      <c r="H38" s="8">
        <v>2000</v>
      </c>
      <c r="I38" s="8">
        <v>400</v>
      </c>
      <c r="J38" s="8">
        <v>300</v>
      </c>
      <c r="K38" s="8">
        <v>3000</v>
      </c>
    </row>
    <row r="39" spans="1:11" x14ac:dyDescent="0.25">
      <c r="A39" s="8">
        <v>15</v>
      </c>
      <c r="B39" s="8">
        <v>15000</v>
      </c>
      <c r="C39" s="8">
        <v>6000</v>
      </c>
      <c r="D39" s="8">
        <v>0</v>
      </c>
      <c r="E39" s="8">
        <v>0</v>
      </c>
      <c r="F39" s="8">
        <v>0</v>
      </c>
      <c r="G39" s="8">
        <v>3000</v>
      </c>
      <c r="H39" s="8">
        <v>2000</v>
      </c>
      <c r="I39" s="8">
        <v>0</v>
      </c>
      <c r="J39" s="8">
        <v>1200</v>
      </c>
      <c r="K39" s="8">
        <v>3000</v>
      </c>
    </row>
    <row r="40" spans="1:11" x14ac:dyDescent="0.25">
      <c r="A40" s="8">
        <v>16</v>
      </c>
      <c r="B40" s="8">
        <v>15000</v>
      </c>
      <c r="C40" s="8">
        <v>10000</v>
      </c>
      <c r="D40" s="8">
        <v>0</v>
      </c>
      <c r="E40" s="8">
        <v>0</v>
      </c>
      <c r="F40" s="8">
        <v>0</v>
      </c>
      <c r="G40" s="8">
        <v>6000</v>
      </c>
      <c r="H40" s="8">
        <v>5000</v>
      </c>
      <c r="I40" s="8">
        <v>2000</v>
      </c>
      <c r="J40" s="8">
        <v>360</v>
      </c>
      <c r="K40" s="8">
        <v>8000</v>
      </c>
    </row>
    <row r="41" spans="1:11" x14ac:dyDescent="0.25">
      <c r="A41" s="8">
        <v>17</v>
      </c>
      <c r="B41" s="8">
        <v>18000</v>
      </c>
      <c r="C41" s="8">
        <v>12000</v>
      </c>
      <c r="D41" s="8">
        <v>0</v>
      </c>
      <c r="E41" s="8">
        <v>0</v>
      </c>
      <c r="F41" s="8">
        <v>18000</v>
      </c>
      <c r="G41" s="8">
        <v>10000</v>
      </c>
      <c r="H41" s="8">
        <v>6000</v>
      </c>
      <c r="I41" s="8">
        <v>3000</v>
      </c>
      <c r="J41" s="8">
        <v>950</v>
      </c>
      <c r="K41" s="8">
        <v>6000</v>
      </c>
    </row>
    <row r="42" spans="1:11" x14ac:dyDescent="0.25">
      <c r="A42" s="8">
        <v>18</v>
      </c>
      <c r="B42" s="8">
        <v>5000</v>
      </c>
      <c r="C42" s="8">
        <v>3000</v>
      </c>
      <c r="D42" s="8">
        <v>0</v>
      </c>
      <c r="E42" s="8">
        <v>0</v>
      </c>
      <c r="F42" s="8">
        <v>0</v>
      </c>
      <c r="G42" s="8">
        <v>3000</v>
      </c>
      <c r="H42" s="8">
        <v>1000</v>
      </c>
      <c r="I42" s="8">
        <v>300</v>
      </c>
      <c r="J42" s="8">
        <v>150</v>
      </c>
      <c r="K42" s="8">
        <v>3000</v>
      </c>
    </row>
    <row r="43" spans="1:11" x14ac:dyDescent="0.25">
      <c r="A43" s="8">
        <v>19</v>
      </c>
      <c r="B43" s="8">
        <v>10000</v>
      </c>
      <c r="C43" s="8">
        <f>15000/12</f>
        <v>1250</v>
      </c>
      <c r="D43" s="8">
        <v>0</v>
      </c>
      <c r="E43" s="8">
        <v>0</v>
      </c>
      <c r="F43" s="8">
        <v>1000</v>
      </c>
      <c r="G43" s="8">
        <v>3000</v>
      </c>
      <c r="H43" s="8">
        <v>4000</v>
      </c>
      <c r="I43" s="8">
        <v>1000</v>
      </c>
      <c r="J43" s="8">
        <v>1800</v>
      </c>
      <c r="K43" s="8">
        <v>3000</v>
      </c>
    </row>
    <row r="44" spans="1:11" x14ac:dyDescent="0.25">
      <c r="A44" s="8">
        <v>20</v>
      </c>
      <c r="B44" s="8">
        <v>10000</v>
      </c>
      <c r="C44" s="8">
        <f>15000/12</f>
        <v>1250</v>
      </c>
      <c r="D44" s="8">
        <v>0</v>
      </c>
      <c r="E44" s="8">
        <v>0</v>
      </c>
      <c r="F44" s="8">
        <v>10000</v>
      </c>
      <c r="G44" s="8">
        <v>3000</v>
      </c>
      <c r="H44" s="8">
        <v>5000</v>
      </c>
      <c r="I44" s="8">
        <v>200</v>
      </c>
      <c r="J44" s="8">
        <v>500</v>
      </c>
      <c r="K44" s="8">
        <v>5000</v>
      </c>
    </row>
    <row r="45" spans="1:11" x14ac:dyDescent="0.25">
      <c r="A45" s="8">
        <v>21</v>
      </c>
      <c r="B45" s="8">
        <v>15000</v>
      </c>
      <c r="C45" s="8">
        <v>10000</v>
      </c>
      <c r="D45" s="8">
        <v>0</v>
      </c>
      <c r="E45" s="8">
        <v>0</v>
      </c>
      <c r="F45" s="8">
        <v>4000</v>
      </c>
      <c r="G45" s="8">
        <v>5000</v>
      </c>
      <c r="H45" s="8">
        <v>5000</v>
      </c>
      <c r="I45" s="8">
        <v>2000</v>
      </c>
      <c r="J45" s="8">
        <v>750</v>
      </c>
      <c r="K45" s="8">
        <v>4000</v>
      </c>
    </row>
    <row r="46" spans="1:11" x14ac:dyDescent="0.25">
      <c r="A46" s="8">
        <v>22</v>
      </c>
      <c r="B46" s="8">
        <v>20000</v>
      </c>
      <c r="C46" s="8">
        <v>1000</v>
      </c>
      <c r="D46" s="8">
        <v>0</v>
      </c>
      <c r="E46" s="8">
        <v>0</v>
      </c>
      <c r="F46" s="8">
        <v>0</v>
      </c>
      <c r="G46" s="8">
        <v>1000</v>
      </c>
      <c r="H46" s="8">
        <v>5000</v>
      </c>
      <c r="I46" s="8">
        <v>2000</v>
      </c>
      <c r="J46" s="8">
        <v>2000</v>
      </c>
      <c r="K46" s="8">
        <v>4000</v>
      </c>
    </row>
    <row r="47" spans="1:11" x14ac:dyDescent="0.25">
      <c r="A47" s="8">
        <v>23</v>
      </c>
      <c r="B47" s="8">
        <v>12000</v>
      </c>
      <c r="C47" s="8">
        <v>12000</v>
      </c>
      <c r="D47" s="8">
        <v>0</v>
      </c>
      <c r="E47" s="8">
        <v>0</v>
      </c>
      <c r="F47" s="8">
        <v>0</v>
      </c>
      <c r="G47" s="8">
        <v>5000</v>
      </c>
      <c r="H47" s="8">
        <v>3000</v>
      </c>
      <c r="I47" s="8">
        <v>300</v>
      </c>
      <c r="J47" s="8">
        <v>800</v>
      </c>
      <c r="K47" s="8">
        <v>2000</v>
      </c>
    </row>
    <row r="48" spans="1:11" x14ac:dyDescent="0.25">
      <c r="A48" s="8">
        <v>24</v>
      </c>
      <c r="B48" s="8">
        <v>10000</v>
      </c>
      <c r="C48" s="8">
        <v>15000</v>
      </c>
      <c r="D48" s="8">
        <v>0</v>
      </c>
      <c r="E48" s="8">
        <v>0</v>
      </c>
      <c r="F48" s="8">
        <v>0</v>
      </c>
      <c r="G48" s="8">
        <v>2000</v>
      </c>
      <c r="H48" s="8">
        <v>3000</v>
      </c>
      <c r="I48" s="8">
        <v>1000</v>
      </c>
      <c r="J48" s="8">
        <v>500</v>
      </c>
      <c r="K48" s="8">
        <v>3000</v>
      </c>
    </row>
    <row r="49" spans="1:14" x14ac:dyDescent="0.25">
      <c r="A49" s="9">
        <v>301</v>
      </c>
      <c r="B49" s="9">
        <v>10000</v>
      </c>
      <c r="C49" s="9">
        <v>1000</v>
      </c>
      <c r="D49" s="9">
        <f>45000/12</f>
        <v>3750</v>
      </c>
      <c r="E49" s="9">
        <v>6000</v>
      </c>
      <c r="F49" s="9">
        <v>4000</v>
      </c>
      <c r="G49" s="9">
        <v>0</v>
      </c>
      <c r="H49" s="9">
        <v>3500</v>
      </c>
      <c r="I49" s="9">
        <v>800</v>
      </c>
      <c r="J49" s="9">
        <v>700</v>
      </c>
      <c r="K49" s="9">
        <v>4000</v>
      </c>
    </row>
    <row r="50" spans="1:14" s="4" customFormat="1" x14ac:dyDescent="0.25">
      <c r="L50" s="3"/>
      <c r="M50" s="3"/>
      <c r="N50" s="3"/>
    </row>
    <row r="51" spans="1:14" x14ac:dyDescent="0.25">
      <c r="A51" s="10">
        <v>137</v>
      </c>
      <c r="B51" s="10">
        <v>7000</v>
      </c>
      <c r="C51" s="10">
        <v>1000</v>
      </c>
      <c r="D51" s="10">
        <v>0</v>
      </c>
      <c r="E51" s="10">
        <v>200</v>
      </c>
      <c r="F51" s="10">
        <v>0</v>
      </c>
      <c r="G51" s="10">
        <v>3000</v>
      </c>
      <c r="H51" s="10">
        <v>500</v>
      </c>
      <c r="I51" s="10">
        <v>200</v>
      </c>
      <c r="J51" s="10">
        <v>600</v>
      </c>
      <c r="K51" s="10">
        <v>400</v>
      </c>
    </row>
    <row r="52" spans="1:14" x14ac:dyDescent="0.25">
      <c r="A52" s="8">
        <v>134</v>
      </c>
      <c r="B52" s="8">
        <v>15000</v>
      </c>
      <c r="C52" s="8">
        <f>30000/12</f>
        <v>2500</v>
      </c>
      <c r="D52" s="8">
        <v>0</v>
      </c>
      <c r="E52" s="8">
        <v>0</v>
      </c>
      <c r="F52" s="8">
        <v>5000</v>
      </c>
      <c r="G52" s="8">
        <v>1000</v>
      </c>
      <c r="H52" s="8">
        <v>2000</v>
      </c>
      <c r="I52" s="8">
        <v>1000</v>
      </c>
      <c r="J52" s="8">
        <v>950</v>
      </c>
      <c r="K52" s="8">
        <v>5000</v>
      </c>
    </row>
    <row r="53" spans="1:14" x14ac:dyDescent="0.25">
      <c r="A53" s="8">
        <v>130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4" x14ac:dyDescent="0.25">
      <c r="A54" s="8">
        <v>131</v>
      </c>
      <c r="B54" s="8">
        <v>25000</v>
      </c>
      <c r="C54" s="8">
        <f>20000/12</f>
        <v>1666.6666666666667</v>
      </c>
      <c r="D54" s="8">
        <v>0</v>
      </c>
      <c r="E54" s="8">
        <v>0</v>
      </c>
      <c r="F54" s="8">
        <v>6000</v>
      </c>
      <c r="G54" s="8">
        <v>2000</v>
      </c>
      <c r="H54" s="8">
        <v>2000</v>
      </c>
      <c r="I54" s="8">
        <v>300</v>
      </c>
      <c r="J54" s="8">
        <v>300</v>
      </c>
      <c r="K54" s="8">
        <v>1000</v>
      </c>
    </row>
    <row r="55" spans="1:14" x14ac:dyDescent="0.25">
      <c r="A55" s="8">
        <v>132</v>
      </c>
      <c r="B55" s="8">
        <v>7000</v>
      </c>
      <c r="C55" s="8">
        <f>50000/12</f>
        <v>4166.666666666667</v>
      </c>
      <c r="D55" s="8">
        <v>0</v>
      </c>
      <c r="E55" s="8">
        <v>0</v>
      </c>
      <c r="F55" s="8">
        <v>0</v>
      </c>
      <c r="G55" s="8">
        <v>500</v>
      </c>
      <c r="H55" s="8">
        <v>1000</v>
      </c>
      <c r="I55" s="8">
        <v>1000</v>
      </c>
      <c r="J55" s="8">
        <v>300</v>
      </c>
      <c r="K55" s="8">
        <v>2000</v>
      </c>
    </row>
    <row r="56" spans="1:14" x14ac:dyDescent="0.25">
      <c r="A56" s="8">
        <v>133</v>
      </c>
      <c r="B56" s="8">
        <v>15000</v>
      </c>
      <c r="C56" s="8">
        <f>6000/12</f>
        <v>500</v>
      </c>
      <c r="D56" s="8">
        <v>0</v>
      </c>
      <c r="E56" s="8">
        <v>0</v>
      </c>
      <c r="F56" s="8">
        <v>0</v>
      </c>
      <c r="G56" s="8">
        <v>1000</v>
      </c>
      <c r="H56" s="8">
        <v>5000</v>
      </c>
      <c r="I56" s="8">
        <v>500</v>
      </c>
      <c r="J56" s="8">
        <v>300</v>
      </c>
      <c r="K56" s="8">
        <v>2000</v>
      </c>
    </row>
    <row r="57" spans="1:14" x14ac:dyDescent="0.25">
      <c r="A57" s="8">
        <v>34</v>
      </c>
      <c r="B57" s="8">
        <v>15000</v>
      </c>
      <c r="C57" s="8">
        <f>15000/12</f>
        <v>1250</v>
      </c>
      <c r="D57" s="8">
        <v>0</v>
      </c>
      <c r="E57" s="8">
        <v>0</v>
      </c>
      <c r="F57" s="8">
        <v>0</v>
      </c>
      <c r="G57" s="8">
        <v>4000</v>
      </c>
      <c r="H57" s="8">
        <v>3000</v>
      </c>
      <c r="I57" s="8">
        <v>1000</v>
      </c>
      <c r="J57" s="8">
        <v>400</v>
      </c>
      <c r="K57" s="8">
        <v>5000</v>
      </c>
    </row>
    <row r="58" spans="1:14" x14ac:dyDescent="0.25">
      <c r="A58" s="8">
        <v>35</v>
      </c>
      <c r="B58" s="8">
        <v>10000</v>
      </c>
      <c r="C58" s="8">
        <f>10000/12</f>
        <v>833.33333333333337</v>
      </c>
      <c r="D58" s="8">
        <v>0</v>
      </c>
      <c r="E58" s="8">
        <v>0</v>
      </c>
      <c r="F58" s="8">
        <v>0</v>
      </c>
      <c r="G58" s="8">
        <v>10000</v>
      </c>
      <c r="H58" s="8">
        <v>5000</v>
      </c>
      <c r="I58" s="8">
        <v>1500</v>
      </c>
      <c r="J58" s="8">
        <v>500</v>
      </c>
      <c r="K58" s="8">
        <v>5000</v>
      </c>
    </row>
    <row r="59" spans="1:14" x14ac:dyDescent="0.25">
      <c r="A59" s="8">
        <v>33</v>
      </c>
      <c r="B59" s="8">
        <v>15000</v>
      </c>
      <c r="C59" s="8">
        <f>15000/12</f>
        <v>1250</v>
      </c>
      <c r="D59" s="8">
        <v>0</v>
      </c>
      <c r="E59" s="8">
        <v>0</v>
      </c>
      <c r="F59" s="8">
        <v>5000</v>
      </c>
      <c r="G59" s="8">
        <v>5000</v>
      </c>
      <c r="H59" s="8">
        <v>3000</v>
      </c>
      <c r="I59" s="8">
        <v>300</v>
      </c>
      <c r="J59" s="8">
        <v>800</v>
      </c>
      <c r="K59" s="8">
        <v>5000</v>
      </c>
    </row>
    <row r="60" spans="1:14" x14ac:dyDescent="0.25">
      <c r="A60" s="8">
        <v>32</v>
      </c>
      <c r="B60" s="8">
        <v>20000</v>
      </c>
      <c r="C60" s="8">
        <f>20000/12</f>
        <v>1666.6666666666667</v>
      </c>
      <c r="D60" s="8">
        <v>0</v>
      </c>
      <c r="E60" s="8">
        <v>0</v>
      </c>
      <c r="F60" s="8">
        <v>0</v>
      </c>
      <c r="G60" s="8">
        <v>5000</v>
      </c>
      <c r="H60" s="8">
        <v>2000</v>
      </c>
      <c r="I60" s="8">
        <v>0</v>
      </c>
      <c r="J60" s="8">
        <v>1000</v>
      </c>
      <c r="K60" s="8">
        <v>5000</v>
      </c>
    </row>
    <row r="61" spans="1:14" x14ac:dyDescent="0.25">
      <c r="A61" s="8">
        <v>31</v>
      </c>
      <c r="B61" s="8">
        <v>15000</v>
      </c>
      <c r="C61" s="8">
        <f>15000/12</f>
        <v>1250</v>
      </c>
      <c r="D61" s="8">
        <v>0</v>
      </c>
      <c r="E61" s="8">
        <v>0</v>
      </c>
      <c r="F61" s="8">
        <v>10000</v>
      </c>
      <c r="G61" s="8">
        <v>3000</v>
      </c>
      <c r="H61" s="8">
        <v>3000</v>
      </c>
      <c r="I61" s="8">
        <v>3000</v>
      </c>
      <c r="J61" s="8">
        <v>1500</v>
      </c>
      <c r="K61" s="8">
        <v>5000</v>
      </c>
    </row>
    <row r="62" spans="1:14" x14ac:dyDescent="0.25">
      <c r="A62" s="8">
        <v>142</v>
      </c>
      <c r="B62" s="8">
        <v>10000</v>
      </c>
      <c r="C62" s="8">
        <f>20000/12</f>
        <v>1666.6666666666667</v>
      </c>
      <c r="D62" s="8">
        <v>0</v>
      </c>
      <c r="E62" s="8">
        <v>0</v>
      </c>
      <c r="F62" s="8">
        <v>0</v>
      </c>
      <c r="G62" s="8">
        <v>1000</v>
      </c>
      <c r="H62" s="8">
        <v>5000</v>
      </c>
      <c r="I62" s="8">
        <v>1000</v>
      </c>
      <c r="J62" s="8">
        <v>400</v>
      </c>
      <c r="K62" s="8">
        <v>3000</v>
      </c>
    </row>
    <row r="63" spans="1:14" x14ac:dyDescent="0.25">
      <c r="A63" s="8">
        <v>30</v>
      </c>
      <c r="B63" s="8">
        <v>25000</v>
      </c>
      <c r="C63" s="8">
        <f>25000/12</f>
        <v>2083.3333333333335</v>
      </c>
      <c r="D63" s="8">
        <v>0</v>
      </c>
      <c r="E63" s="8">
        <v>0</v>
      </c>
      <c r="F63" s="8">
        <v>5000</v>
      </c>
      <c r="G63" s="8">
        <v>5000</v>
      </c>
      <c r="H63" s="8">
        <v>5000</v>
      </c>
      <c r="I63" s="8">
        <v>1000</v>
      </c>
      <c r="J63" s="8">
        <v>1000</v>
      </c>
      <c r="K63" s="8">
        <v>5000</v>
      </c>
    </row>
    <row r="64" spans="1:14" x14ac:dyDescent="0.25">
      <c r="A64" s="8">
        <v>38</v>
      </c>
      <c r="B64" s="8">
        <v>15000</v>
      </c>
      <c r="C64" s="8">
        <f>15000/12</f>
        <v>1250</v>
      </c>
      <c r="D64" s="8">
        <v>0</v>
      </c>
      <c r="E64" s="8">
        <v>0</v>
      </c>
      <c r="F64" s="8">
        <v>15000</v>
      </c>
      <c r="G64" s="8">
        <v>5000</v>
      </c>
      <c r="H64" s="8">
        <v>3000</v>
      </c>
      <c r="I64" s="8">
        <v>2000</v>
      </c>
      <c r="J64" s="8">
        <v>1000</v>
      </c>
      <c r="K64" s="8">
        <v>5000</v>
      </c>
    </row>
    <row r="65" spans="1:14" x14ac:dyDescent="0.25">
      <c r="A65" s="8">
        <v>36</v>
      </c>
      <c r="B65" s="8">
        <v>15000</v>
      </c>
      <c r="C65" s="8">
        <f>15000/12</f>
        <v>1250</v>
      </c>
      <c r="D65" s="8">
        <v>0</v>
      </c>
      <c r="E65" s="8">
        <v>0</v>
      </c>
      <c r="F65" s="8">
        <v>5000</v>
      </c>
      <c r="G65" s="8">
        <v>3000</v>
      </c>
      <c r="H65" s="8">
        <v>3000</v>
      </c>
      <c r="I65" s="8">
        <v>1000</v>
      </c>
      <c r="J65" s="8">
        <v>1400</v>
      </c>
      <c r="K65" s="8">
        <v>5000</v>
      </c>
    </row>
    <row r="66" spans="1:14" x14ac:dyDescent="0.25">
      <c r="A66" s="9">
        <v>39</v>
      </c>
      <c r="B66" s="9">
        <v>10000</v>
      </c>
      <c r="C66" s="9">
        <f>15000/12</f>
        <v>1250</v>
      </c>
      <c r="D66" s="9">
        <v>0</v>
      </c>
      <c r="E66" s="9">
        <v>0</v>
      </c>
      <c r="F66" s="9">
        <v>0</v>
      </c>
      <c r="G66" s="9">
        <v>10000</v>
      </c>
      <c r="H66" s="9">
        <v>5000</v>
      </c>
      <c r="I66" s="9">
        <v>2000</v>
      </c>
      <c r="J66" s="9">
        <v>300</v>
      </c>
      <c r="K66" s="39">
        <v>5000</v>
      </c>
    </row>
    <row r="67" spans="1:14" s="4" customFormat="1" x14ac:dyDescent="0.25">
      <c r="L67" s="3"/>
      <c r="M67" s="3"/>
      <c r="N67" s="3"/>
    </row>
    <row r="68" spans="1:14" x14ac:dyDescent="0.25">
      <c r="A68" s="10">
        <v>136</v>
      </c>
      <c r="B68" s="10">
        <v>10000</v>
      </c>
      <c r="C68" s="10">
        <f>3000/12</f>
        <v>250</v>
      </c>
      <c r="D68" s="10">
        <v>0</v>
      </c>
      <c r="E68" s="10">
        <v>0</v>
      </c>
      <c r="F68" s="10">
        <v>0</v>
      </c>
      <c r="G68" s="10">
        <v>5000</v>
      </c>
      <c r="H68" s="10">
        <v>10000</v>
      </c>
      <c r="I68" s="10">
        <v>3000</v>
      </c>
      <c r="J68" s="10">
        <v>5000</v>
      </c>
      <c r="K68" s="10">
        <v>5000</v>
      </c>
    </row>
    <row r="69" spans="1:14" x14ac:dyDescent="0.25">
      <c r="A69" s="8">
        <v>139</v>
      </c>
      <c r="B69" s="8">
        <v>10000</v>
      </c>
      <c r="C69" s="8">
        <f>5000/12</f>
        <v>416.66666666666669</v>
      </c>
      <c r="D69" s="8">
        <v>0</v>
      </c>
      <c r="E69" s="8">
        <v>8000</v>
      </c>
      <c r="F69" s="8">
        <v>4000</v>
      </c>
      <c r="G69" s="8">
        <v>1000</v>
      </c>
      <c r="H69" s="8">
        <v>3000</v>
      </c>
      <c r="I69" s="8">
        <v>4500</v>
      </c>
      <c r="J69" s="8">
        <v>500</v>
      </c>
      <c r="K69" s="8">
        <v>5000</v>
      </c>
    </row>
    <row r="70" spans="1:14" x14ac:dyDescent="0.25">
      <c r="A70" s="8">
        <v>141</v>
      </c>
      <c r="B70" s="8">
        <v>6000</v>
      </c>
      <c r="C70" s="8">
        <v>1000</v>
      </c>
      <c r="D70" s="8">
        <v>0</v>
      </c>
      <c r="E70" s="8">
        <v>0</v>
      </c>
      <c r="F70" s="8">
        <v>0</v>
      </c>
      <c r="G70" s="8">
        <v>1000</v>
      </c>
      <c r="H70" s="8">
        <v>500</v>
      </c>
      <c r="I70" s="8">
        <v>100</v>
      </c>
      <c r="J70" s="8">
        <v>500</v>
      </c>
      <c r="K70" s="8">
        <v>400</v>
      </c>
    </row>
    <row r="71" spans="1:14" x14ac:dyDescent="0.25">
      <c r="A71" s="8">
        <v>140</v>
      </c>
      <c r="B71" s="8">
        <v>10000</v>
      </c>
      <c r="C71" s="8">
        <v>5000</v>
      </c>
      <c r="D71" s="8">
        <v>0</v>
      </c>
      <c r="E71" s="8">
        <v>0</v>
      </c>
      <c r="F71" s="8">
        <v>6000</v>
      </c>
      <c r="G71" s="8">
        <v>2000</v>
      </c>
      <c r="H71" s="8">
        <v>2000</v>
      </c>
      <c r="I71" s="8">
        <v>1000</v>
      </c>
      <c r="J71" s="8">
        <v>250</v>
      </c>
      <c r="K71" s="8">
        <v>3000</v>
      </c>
    </row>
    <row r="72" spans="1:14" x14ac:dyDescent="0.25">
      <c r="A72" s="8">
        <v>37</v>
      </c>
      <c r="B72" s="8">
        <v>20000</v>
      </c>
      <c r="C72" s="8">
        <f>20000/12</f>
        <v>1666.6666666666667</v>
      </c>
      <c r="D72" s="8">
        <v>0</v>
      </c>
      <c r="E72" s="8">
        <v>0</v>
      </c>
      <c r="F72" s="8">
        <v>6000</v>
      </c>
      <c r="G72" s="8">
        <v>500</v>
      </c>
      <c r="H72" s="8">
        <v>4000</v>
      </c>
      <c r="I72" s="8">
        <v>1000</v>
      </c>
      <c r="J72" s="8">
        <v>400</v>
      </c>
      <c r="K72" s="8">
        <v>5000</v>
      </c>
    </row>
    <row r="73" spans="1:14" x14ac:dyDescent="0.25">
      <c r="A73" s="8">
        <v>42</v>
      </c>
      <c r="B73" s="8">
        <v>10000</v>
      </c>
      <c r="C73" s="8">
        <f>10000/12</f>
        <v>833.33333333333337</v>
      </c>
      <c r="D73" s="8">
        <v>0</v>
      </c>
      <c r="E73" s="8">
        <v>0</v>
      </c>
      <c r="F73" s="8">
        <v>0</v>
      </c>
      <c r="G73" s="8">
        <v>3000</v>
      </c>
      <c r="H73" s="8">
        <v>3000</v>
      </c>
      <c r="I73" s="8">
        <v>1000</v>
      </c>
      <c r="J73" s="8">
        <v>250</v>
      </c>
      <c r="K73" s="8">
        <v>4000</v>
      </c>
    </row>
    <row r="74" spans="1:14" x14ac:dyDescent="0.25">
      <c r="A74" s="8">
        <v>40</v>
      </c>
      <c r="B74" s="8">
        <v>20000</v>
      </c>
      <c r="C74" s="8">
        <f>20000/12</f>
        <v>1666.6666666666667</v>
      </c>
      <c r="D74" s="8">
        <v>0</v>
      </c>
      <c r="E74" s="8">
        <v>0</v>
      </c>
      <c r="F74" s="8">
        <v>0</v>
      </c>
      <c r="G74" s="8">
        <v>8000</v>
      </c>
      <c r="H74" s="8">
        <v>3000</v>
      </c>
      <c r="I74" s="8">
        <v>1000</v>
      </c>
      <c r="J74" s="8">
        <v>1200</v>
      </c>
      <c r="K74" s="8">
        <v>5000</v>
      </c>
    </row>
    <row r="75" spans="1:14" x14ac:dyDescent="0.25">
      <c r="A75" s="8">
        <v>41</v>
      </c>
      <c r="B75" s="8">
        <v>12000</v>
      </c>
      <c r="C75" s="8">
        <v>1000</v>
      </c>
      <c r="D75" s="8">
        <v>0</v>
      </c>
      <c r="E75" s="8">
        <v>0</v>
      </c>
      <c r="F75" s="8">
        <v>5000</v>
      </c>
      <c r="G75" s="8">
        <v>5000</v>
      </c>
      <c r="H75" s="8">
        <v>5000</v>
      </c>
      <c r="I75" s="8">
        <v>500</v>
      </c>
      <c r="J75" s="8">
        <v>1000</v>
      </c>
      <c r="K75" s="8">
        <v>5000</v>
      </c>
    </row>
    <row r="76" spans="1:14" x14ac:dyDescent="0.25">
      <c r="A76" s="8">
        <v>29</v>
      </c>
      <c r="B76" s="8">
        <v>20000</v>
      </c>
      <c r="C76" s="8">
        <f>20000/12</f>
        <v>1666.6666666666667</v>
      </c>
      <c r="D76" s="8">
        <v>0</v>
      </c>
      <c r="E76" s="8">
        <v>0</v>
      </c>
      <c r="F76" s="8">
        <v>5000</v>
      </c>
      <c r="G76" s="8">
        <v>2000</v>
      </c>
      <c r="H76" s="8">
        <v>2000</v>
      </c>
      <c r="I76" s="8">
        <v>500</v>
      </c>
      <c r="J76" s="8">
        <v>225</v>
      </c>
      <c r="K76" s="8">
        <v>5000</v>
      </c>
    </row>
    <row r="77" spans="1:14" x14ac:dyDescent="0.25">
      <c r="A77" s="8">
        <v>28</v>
      </c>
      <c r="B77" s="8">
        <v>15000</v>
      </c>
      <c r="C77" s="8">
        <f>15000/12</f>
        <v>1250</v>
      </c>
      <c r="D77" s="8">
        <v>0</v>
      </c>
      <c r="E77" s="8">
        <v>0</v>
      </c>
      <c r="F77" s="8">
        <v>0</v>
      </c>
      <c r="G77" s="8">
        <v>3000</v>
      </c>
      <c r="H77" s="8">
        <v>4000</v>
      </c>
      <c r="I77" s="8">
        <v>200</v>
      </c>
      <c r="J77" s="8">
        <v>1500</v>
      </c>
      <c r="K77" s="8">
        <v>5000</v>
      </c>
    </row>
    <row r="78" spans="1:14" x14ac:dyDescent="0.25">
      <c r="A78" s="8">
        <v>129</v>
      </c>
      <c r="B78" s="8">
        <v>8000</v>
      </c>
      <c r="C78" s="8">
        <v>2000</v>
      </c>
      <c r="D78" s="8">
        <v>0</v>
      </c>
      <c r="E78" s="8">
        <v>10500</v>
      </c>
      <c r="F78" s="8">
        <v>3000</v>
      </c>
      <c r="G78" s="8">
        <v>3000</v>
      </c>
      <c r="H78" s="8">
        <v>1000</v>
      </c>
      <c r="I78" s="8">
        <v>200</v>
      </c>
      <c r="J78" s="8">
        <v>120</v>
      </c>
      <c r="K78" s="8">
        <v>2500</v>
      </c>
    </row>
    <row r="79" spans="1:14" x14ac:dyDescent="0.25">
      <c r="A79" s="8">
        <v>135</v>
      </c>
      <c r="B79" s="8">
        <v>15000</v>
      </c>
      <c r="C79" s="8">
        <v>1000</v>
      </c>
      <c r="D79" s="8">
        <v>0</v>
      </c>
      <c r="E79" s="8">
        <v>0</v>
      </c>
      <c r="F79" s="8">
        <v>10000</v>
      </c>
      <c r="G79" s="8">
        <v>10000</v>
      </c>
      <c r="H79" s="8">
        <v>5000</v>
      </c>
      <c r="I79" s="8">
        <v>1500</v>
      </c>
      <c r="J79" s="8">
        <v>300</v>
      </c>
      <c r="K79" s="8">
        <v>6000</v>
      </c>
    </row>
    <row r="80" spans="1:14" x14ac:dyDescent="0.25">
      <c r="A80" s="8">
        <v>138</v>
      </c>
      <c r="B80" s="8">
        <v>10000</v>
      </c>
      <c r="C80" s="8">
        <v>1000</v>
      </c>
      <c r="D80" s="8">
        <v>0</v>
      </c>
      <c r="E80" s="8">
        <v>0</v>
      </c>
      <c r="F80" s="8">
        <v>15000</v>
      </c>
      <c r="G80" s="8">
        <v>1000</v>
      </c>
      <c r="H80" s="8">
        <v>3000</v>
      </c>
      <c r="I80" s="8">
        <v>2000</v>
      </c>
      <c r="J80" s="8">
        <v>500</v>
      </c>
      <c r="K80" s="8">
        <v>6000</v>
      </c>
    </row>
    <row r="81" spans="1:14" x14ac:dyDescent="0.25">
      <c r="A81" s="9">
        <v>137</v>
      </c>
      <c r="B81" s="9">
        <v>25000</v>
      </c>
      <c r="C81" s="9">
        <f>5000/12</f>
        <v>416.66666666666669</v>
      </c>
      <c r="D81" s="9">
        <v>0</v>
      </c>
      <c r="E81" s="9">
        <v>0</v>
      </c>
      <c r="F81" s="9">
        <v>0</v>
      </c>
      <c r="G81" s="9">
        <v>10000</v>
      </c>
      <c r="H81" s="9">
        <v>5000</v>
      </c>
      <c r="I81" s="9">
        <v>1000</v>
      </c>
      <c r="J81" s="9">
        <v>200</v>
      </c>
      <c r="K81" s="9">
        <v>5000</v>
      </c>
    </row>
    <row r="82" spans="1:14" s="4" customFormat="1" x14ac:dyDescent="0.25">
      <c r="L82" s="3"/>
      <c r="M82" s="3"/>
      <c r="N82" s="3"/>
    </row>
    <row r="83" spans="1:14" x14ac:dyDescent="0.25">
      <c r="A83" s="11">
        <v>252</v>
      </c>
      <c r="B83" s="10">
        <v>12000</v>
      </c>
      <c r="C83" s="10">
        <v>0</v>
      </c>
      <c r="D83" s="10">
        <v>0</v>
      </c>
      <c r="E83" s="10">
        <v>20000</v>
      </c>
      <c r="F83" s="10">
        <v>0</v>
      </c>
      <c r="G83" s="10">
        <v>0</v>
      </c>
      <c r="H83" s="10">
        <v>1000</v>
      </c>
      <c r="I83" s="10">
        <v>500</v>
      </c>
      <c r="J83" s="10">
        <v>260</v>
      </c>
      <c r="K83" s="10">
        <v>7500</v>
      </c>
    </row>
    <row r="84" spans="1:14" x14ac:dyDescent="0.25">
      <c r="A84" s="6">
        <v>253</v>
      </c>
      <c r="B84" s="8">
        <v>20000</v>
      </c>
      <c r="C84" s="8">
        <v>0</v>
      </c>
      <c r="D84" s="8">
        <v>0</v>
      </c>
      <c r="E84" s="8">
        <v>0</v>
      </c>
      <c r="F84" s="8">
        <v>7000</v>
      </c>
      <c r="G84" s="8">
        <v>4000</v>
      </c>
      <c r="H84" s="8">
        <v>8000</v>
      </c>
      <c r="I84" s="8">
        <v>600</v>
      </c>
      <c r="J84" s="8">
        <v>4200</v>
      </c>
      <c r="K84" s="8">
        <v>0</v>
      </c>
    </row>
    <row r="85" spans="1:14" x14ac:dyDescent="0.25">
      <c r="A85" s="6">
        <v>254</v>
      </c>
      <c r="B85" s="8">
        <v>5000</v>
      </c>
      <c r="C85" s="8">
        <v>0</v>
      </c>
      <c r="D85" s="8">
        <v>0</v>
      </c>
      <c r="E85" s="8">
        <v>9500</v>
      </c>
      <c r="F85" s="8">
        <v>7000</v>
      </c>
      <c r="G85" s="8">
        <v>0</v>
      </c>
      <c r="H85" s="8">
        <v>500</v>
      </c>
      <c r="I85" s="8">
        <v>200</v>
      </c>
      <c r="J85" s="8">
        <v>1800</v>
      </c>
      <c r="K85" s="8">
        <v>500</v>
      </c>
    </row>
    <row r="86" spans="1:14" x14ac:dyDescent="0.25">
      <c r="A86" s="6">
        <v>255</v>
      </c>
      <c r="B86" s="8">
        <v>25000</v>
      </c>
      <c r="C86" s="8">
        <v>0</v>
      </c>
      <c r="D86" s="8">
        <v>0</v>
      </c>
      <c r="E86" s="8">
        <v>0</v>
      </c>
      <c r="F86" s="8">
        <v>0</v>
      </c>
      <c r="G86" s="8">
        <v>3000</v>
      </c>
      <c r="H86" s="8">
        <v>0</v>
      </c>
      <c r="I86" s="8">
        <v>500</v>
      </c>
      <c r="J86" s="8">
        <v>1000</v>
      </c>
      <c r="K86" s="8">
        <v>0</v>
      </c>
    </row>
    <row r="87" spans="1:14" x14ac:dyDescent="0.25">
      <c r="A87" s="6">
        <v>256</v>
      </c>
      <c r="B87" s="8">
        <v>15000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1500</v>
      </c>
      <c r="I87" s="8">
        <v>0</v>
      </c>
      <c r="J87" s="8">
        <v>360</v>
      </c>
      <c r="K87" s="8">
        <v>0</v>
      </c>
    </row>
    <row r="88" spans="1:14" x14ac:dyDescent="0.25">
      <c r="A88" s="6">
        <v>101</v>
      </c>
      <c r="B88" s="8">
        <v>20000</v>
      </c>
      <c r="C88" s="8">
        <v>4000</v>
      </c>
      <c r="D88" s="8">
        <v>0</v>
      </c>
      <c r="E88" s="8">
        <v>13000</v>
      </c>
      <c r="F88" s="8">
        <v>0</v>
      </c>
      <c r="G88" s="8">
        <v>2000</v>
      </c>
      <c r="H88" s="8">
        <v>8000</v>
      </c>
      <c r="I88" s="8">
        <v>3000</v>
      </c>
      <c r="J88" s="8">
        <v>1500</v>
      </c>
      <c r="K88" s="8">
        <v>5000</v>
      </c>
    </row>
    <row r="89" spans="1:14" x14ac:dyDescent="0.25">
      <c r="A89" s="6">
        <v>106</v>
      </c>
      <c r="B89" s="8">
        <v>15000</v>
      </c>
      <c r="C89" s="8">
        <f>6000/12</f>
        <v>500</v>
      </c>
      <c r="D89" s="8">
        <v>0</v>
      </c>
      <c r="E89" s="8">
        <v>1000</v>
      </c>
      <c r="F89" s="8">
        <v>3000</v>
      </c>
      <c r="G89" s="8">
        <v>4000</v>
      </c>
      <c r="H89" s="8">
        <v>1000</v>
      </c>
      <c r="I89" s="8">
        <v>1000</v>
      </c>
      <c r="J89" s="8">
        <v>58</v>
      </c>
      <c r="K89" s="8">
        <v>5000</v>
      </c>
    </row>
    <row r="90" spans="1:14" x14ac:dyDescent="0.25">
      <c r="A90" s="6">
        <v>107</v>
      </c>
      <c r="B90" s="8">
        <v>20000</v>
      </c>
      <c r="C90" s="8">
        <v>1000</v>
      </c>
      <c r="D90" s="8">
        <v>0</v>
      </c>
      <c r="E90" s="8">
        <v>0</v>
      </c>
      <c r="F90" s="8">
        <v>2000</v>
      </c>
      <c r="G90" s="8">
        <v>1500</v>
      </c>
      <c r="H90" s="8">
        <v>500</v>
      </c>
      <c r="I90" s="8">
        <v>200</v>
      </c>
      <c r="J90" s="8">
        <v>300</v>
      </c>
      <c r="K90" s="8">
        <v>1000</v>
      </c>
    </row>
    <row r="91" spans="1:14" x14ac:dyDescent="0.25">
      <c r="A91" s="6">
        <v>108</v>
      </c>
      <c r="B91" s="8">
        <v>15000</v>
      </c>
      <c r="C91" s="8">
        <v>3000</v>
      </c>
      <c r="D91" s="8">
        <v>0</v>
      </c>
      <c r="E91" s="8">
        <v>0</v>
      </c>
      <c r="F91" s="8">
        <v>3500</v>
      </c>
      <c r="G91" s="8">
        <v>0</v>
      </c>
      <c r="H91" s="8">
        <v>1500</v>
      </c>
      <c r="I91" s="8">
        <v>400</v>
      </c>
      <c r="J91" s="8">
        <v>300</v>
      </c>
      <c r="K91" s="8">
        <v>2000</v>
      </c>
    </row>
    <row r="92" spans="1:14" x14ac:dyDescent="0.25">
      <c r="A92" s="6">
        <v>109</v>
      </c>
      <c r="B92" s="8">
        <v>7000</v>
      </c>
      <c r="C92" s="8">
        <v>2000</v>
      </c>
      <c r="D92" s="8">
        <v>0</v>
      </c>
      <c r="E92" s="8">
        <v>0</v>
      </c>
      <c r="F92" s="8">
        <v>0</v>
      </c>
      <c r="G92" s="8">
        <v>2000</v>
      </c>
      <c r="H92" s="8">
        <v>1000</v>
      </c>
      <c r="I92" s="8">
        <v>1000</v>
      </c>
      <c r="J92" s="8">
        <v>600</v>
      </c>
      <c r="K92" s="8">
        <v>4000</v>
      </c>
    </row>
    <row r="93" spans="1:14" x14ac:dyDescent="0.25">
      <c r="A93" s="6">
        <v>1</v>
      </c>
      <c r="B93" s="8">
        <v>8000</v>
      </c>
      <c r="C93" s="8">
        <v>700</v>
      </c>
      <c r="D93" s="8">
        <v>0</v>
      </c>
      <c r="E93" s="8">
        <v>15000</v>
      </c>
      <c r="F93" s="8">
        <v>0</v>
      </c>
      <c r="G93" s="8">
        <v>500</v>
      </c>
      <c r="H93" s="8">
        <v>2000</v>
      </c>
      <c r="I93" s="8">
        <v>1500</v>
      </c>
      <c r="J93" s="8">
        <v>250</v>
      </c>
      <c r="K93" s="8">
        <v>5000</v>
      </c>
    </row>
    <row r="94" spans="1:14" x14ac:dyDescent="0.25">
      <c r="A94" s="6">
        <v>2</v>
      </c>
      <c r="B94" s="8">
        <v>15000</v>
      </c>
      <c r="C94" s="8">
        <v>15000</v>
      </c>
      <c r="D94" s="8">
        <v>0</v>
      </c>
      <c r="E94" s="8">
        <v>0</v>
      </c>
      <c r="F94" s="8">
        <v>0</v>
      </c>
      <c r="G94" s="8">
        <v>1000</v>
      </c>
      <c r="H94" s="8">
        <v>2000</v>
      </c>
      <c r="I94" s="8">
        <v>500</v>
      </c>
      <c r="J94" s="8">
        <v>300</v>
      </c>
      <c r="K94" s="8">
        <v>5000</v>
      </c>
    </row>
    <row r="95" spans="1:14" x14ac:dyDescent="0.25">
      <c r="A95" s="6">
        <v>3</v>
      </c>
      <c r="B95" s="8">
        <v>10000</v>
      </c>
      <c r="C95" s="8">
        <f>6000/12</f>
        <v>500</v>
      </c>
      <c r="D95" s="8">
        <v>0</v>
      </c>
      <c r="E95" s="8">
        <f>2000/4</f>
        <v>500</v>
      </c>
      <c r="F95" s="8">
        <v>0</v>
      </c>
      <c r="G95" s="8">
        <v>10000</v>
      </c>
      <c r="H95" s="8">
        <v>3000</v>
      </c>
      <c r="I95" s="8">
        <v>1500</v>
      </c>
      <c r="J95" s="8">
        <v>550</v>
      </c>
      <c r="K95" s="8">
        <v>2500</v>
      </c>
    </row>
    <row r="96" spans="1:14" x14ac:dyDescent="0.25">
      <c r="A96" s="6">
        <v>4</v>
      </c>
      <c r="B96" s="8">
        <v>7000</v>
      </c>
      <c r="C96" s="8">
        <v>6000</v>
      </c>
      <c r="D96" s="8">
        <v>0</v>
      </c>
      <c r="E96" s="8">
        <v>0</v>
      </c>
      <c r="F96" s="8">
        <v>7000</v>
      </c>
      <c r="G96" s="8">
        <v>0</v>
      </c>
      <c r="H96" s="8">
        <v>3000</v>
      </c>
      <c r="I96" s="8">
        <v>700</v>
      </c>
      <c r="J96" s="8">
        <v>300</v>
      </c>
      <c r="K96" s="8">
        <v>2000</v>
      </c>
    </row>
    <row r="97" spans="1:11" x14ac:dyDescent="0.25">
      <c r="A97" s="6">
        <v>5</v>
      </c>
      <c r="B97" s="8">
        <v>20000</v>
      </c>
      <c r="C97" s="8">
        <v>2000</v>
      </c>
      <c r="D97" s="8">
        <v>0</v>
      </c>
      <c r="E97" s="8">
        <v>0</v>
      </c>
      <c r="F97" s="8">
        <v>0</v>
      </c>
      <c r="G97" s="8">
        <v>3000</v>
      </c>
      <c r="H97" s="8">
        <v>5000</v>
      </c>
      <c r="I97" s="8">
        <v>0</v>
      </c>
      <c r="J97" s="8">
        <v>7000</v>
      </c>
      <c r="K97" s="8">
        <v>3000</v>
      </c>
    </row>
    <row r="98" spans="1:11" x14ac:dyDescent="0.25">
      <c r="A98" s="6">
        <v>8</v>
      </c>
      <c r="B98" s="8">
        <v>20000</v>
      </c>
      <c r="C98" s="8">
        <v>25000</v>
      </c>
      <c r="D98" s="8">
        <v>0</v>
      </c>
      <c r="E98" s="8">
        <v>0</v>
      </c>
      <c r="F98" s="8">
        <v>0</v>
      </c>
      <c r="G98" s="8">
        <v>4000</v>
      </c>
      <c r="H98" s="8">
        <v>2000</v>
      </c>
      <c r="I98" s="8">
        <v>1500</v>
      </c>
      <c r="J98" s="8">
        <v>750</v>
      </c>
      <c r="K98" s="8">
        <v>5000</v>
      </c>
    </row>
    <row r="99" spans="1:11" x14ac:dyDescent="0.25">
      <c r="A99" s="6">
        <v>9</v>
      </c>
      <c r="B99" s="8">
        <v>5000</v>
      </c>
      <c r="C99" s="8">
        <v>8000</v>
      </c>
      <c r="D99" s="8">
        <v>0</v>
      </c>
      <c r="E99" s="8">
        <v>0</v>
      </c>
      <c r="F99" s="8">
        <v>0</v>
      </c>
      <c r="G99" s="8">
        <v>1000</v>
      </c>
      <c r="H99" s="8">
        <v>500</v>
      </c>
      <c r="I99" s="8">
        <v>1500</v>
      </c>
      <c r="J99" s="8">
        <v>200</v>
      </c>
      <c r="K99" s="8">
        <v>2000</v>
      </c>
    </row>
    <row r="100" spans="1:11" x14ac:dyDescent="0.25">
      <c r="A100" s="6">
        <v>201</v>
      </c>
      <c r="B100" s="8">
        <v>15000</v>
      </c>
      <c r="C100" s="8">
        <f>20000/12</f>
        <v>1666.6666666666667</v>
      </c>
      <c r="D100" s="8">
        <v>0</v>
      </c>
      <c r="E100" s="8">
        <v>0</v>
      </c>
      <c r="F100" s="8">
        <v>10000</v>
      </c>
      <c r="G100" s="8">
        <v>0</v>
      </c>
      <c r="H100" s="8">
        <v>5000</v>
      </c>
      <c r="I100" s="8">
        <v>500</v>
      </c>
      <c r="J100" s="8">
        <v>1300</v>
      </c>
      <c r="K100" s="8">
        <v>4000</v>
      </c>
    </row>
    <row r="101" spans="1:11" x14ac:dyDescent="0.25">
      <c r="A101" s="6">
        <v>204</v>
      </c>
      <c r="B101" s="8">
        <v>1500</v>
      </c>
      <c r="C101" s="8">
        <v>0</v>
      </c>
      <c r="D101" s="8">
        <v>0</v>
      </c>
      <c r="E101" s="8">
        <v>0</v>
      </c>
      <c r="F101" s="8">
        <v>0</v>
      </c>
      <c r="G101" s="8">
        <v>500</v>
      </c>
      <c r="H101" s="8">
        <v>200</v>
      </c>
      <c r="I101" s="8">
        <v>200</v>
      </c>
      <c r="J101" s="8">
        <v>200</v>
      </c>
      <c r="K101" s="8">
        <v>500</v>
      </c>
    </row>
    <row r="102" spans="1:11" x14ac:dyDescent="0.25">
      <c r="A102" s="6">
        <v>205</v>
      </c>
      <c r="B102" s="8">
        <v>8000</v>
      </c>
      <c r="C102" s="8">
        <v>2000</v>
      </c>
      <c r="D102" s="8">
        <v>0</v>
      </c>
      <c r="E102" s="8">
        <v>0</v>
      </c>
      <c r="F102" s="8">
        <v>0</v>
      </c>
      <c r="G102" s="8">
        <v>2000</v>
      </c>
      <c r="H102" s="8">
        <v>1000</v>
      </c>
      <c r="I102" s="8">
        <v>1000</v>
      </c>
      <c r="J102" s="8">
        <v>600</v>
      </c>
      <c r="K102" s="8">
        <v>1000</v>
      </c>
    </row>
    <row r="103" spans="1:11" x14ac:dyDescent="0.25">
      <c r="A103" s="6">
        <v>320</v>
      </c>
      <c r="B103" s="8">
        <v>15000</v>
      </c>
      <c r="C103" s="8">
        <f>30000/12</f>
        <v>2500</v>
      </c>
      <c r="D103" s="8">
        <v>0</v>
      </c>
      <c r="E103" s="8">
        <v>0</v>
      </c>
      <c r="F103" s="8">
        <v>15000</v>
      </c>
      <c r="G103" s="8">
        <v>2000</v>
      </c>
      <c r="H103" s="8">
        <v>3000</v>
      </c>
      <c r="I103" s="8">
        <v>1000</v>
      </c>
      <c r="J103" s="8">
        <v>2000</v>
      </c>
      <c r="K103" s="8">
        <v>0</v>
      </c>
    </row>
    <row r="104" spans="1:11" x14ac:dyDescent="0.25">
      <c r="A104" s="6">
        <v>226</v>
      </c>
      <c r="B104" s="8">
        <v>17000</v>
      </c>
      <c r="C104" s="8">
        <v>3000</v>
      </c>
      <c r="D104" s="8">
        <v>0</v>
      </c>
      <c r="E104" s="8">
        <v>0</v>
      </c>
      <c r="F104" s="8">
        <v>0</v>
      </c>
      <c r="G104" s="8">
        <v>1000</v>
      </c>
      <c r="H104" s="8">
        <v>500</v>
      </c>
      <c r="I104" s="8">
        <v>500</v>
      </c>
      <c r="J104" s="8">
        <v>500</v>
      </c>
      <c r="K104" s="8">
        <v>1000</v>
      </c>
    </row>
    <row r="105" spans="1:11" x14ac:dyDescent="0.25">
      <c r="A105" s="6">
        <v>314</v>
      </c>
      <c r="B105" s="8">
        <v>10000</v>
      </c>
      <c r="C105" s="8">
        <f>10000/12</f>
        <v>833.33333333333337</v>
      </c>
      <c r="D105" s="8">
        <v>0</v>
      </c>
      <c r="E105" s="8">
        <v>0</v>
      </c>
      <c r="F105" s="8">
        <v>0</v>
      </c>
      <c r="G105" s="8">
        <v>5000</v>
      </c>
      <c r="H105" s="8">
        <v>2000</v>
      </c>
      <c r="I105" s="8">
        <v>0</v>
      </c>
      <c r="J105" s="8">
        <v>200</v>
      </c>
      <c r="K105" s="8">
        <v>1000</v>
      </c>
    </row>
    <row r="106" spans="1:11" x14ac:dyDescent="0.25">
      <c r="A106" s="6">
        <v>321</v>
      </c>
      <c r="B106" s="8">
        <v>12000</v>
      </c>
      <c r="C106" s="8">
        <f>15000/12</f>
        <v>1250</v>
      </c>
      <c r="D106" s="8">
        <v>0</v>
      </c>
      <c r="E106" s="8">
        <v>0</v>
      </c>
      <c r="F106" s="8">
        <v>0</v>
      </c>
      <c r="G106" s="8">
        <v>6000</v>
      </c>
      <c r="H106" s="8">
        <v>2000</v>
      </c>
      <c r="I106" s="8">
        <v>500</v>
      </c>
      <c r="J106" s="8">
        <v>200</v>
      </c>
      <c r="K106" s="8">
        <v>2000</v>
      </c>
    </row>
    <row r="107" spans="1:11" x14ac:dyDescent="0.25">
      <c r="A107" s="6">
        <v>315</v>
      </c>
      <c r="B107" s="8">
        <v>7000</v>
      </c>
      <c r="C107" s="8">
        <f>20000/12</f>
        <v>1666.6666666666667</v>
      </c>
      <c r="D107" s="8">
        <v>0</v>
      </c>
      <c r="E107" s="8">
        <v>0</v>
      </c>
      <c r="F107" s="8">
        <v>5000</v>
      </c>
      <c r="G107" s="8">
        <v>4000</v>
      </c>
      <c r="H107" s="8">
        <v>3000</v>
      </c>
      <c r="I107" s="8">
        <v>0</v>
      </c>
      <c r="J107" s="8">
        <v>200</v>
      </c>
      <c r="K107" s="8">
        <v>4000</v>
      </c>
    </row>
    <row r="108" spans="1:11" x14ac:dyDescent="0.25">
      <c r="A108" s="6">
        <v>227</v>
      </c>
      <c r="B108" s="8">
        <v>10000</v>
      </c>
      <c r="C108" s="8">
        <f>20000/12</f>
        <v>1666.6666666666667</v>
      </c>
      <c r="D108" s="8">
        <v>0</v>
      </c>
      <c r="E108" s="8">
        <v>1000</v>
      </c>
      <c r="F108" s="8">
        <v>3000</v>
      </c>
      <c r="G108" s="8">
        <v>2500</v>
      </c>
      <c r="H108" s="8">
        <v>1500</v>
      </c>
      <c r="I108" s="8">
        <v>800</v>
      </c>
      <c r="J108" s="8">
        <v>1400</v>
      </c>
      <c r="K108" s="8">
        <v>1500</v>
      </c>
    </row>
    <row r="109" spans="1:11" x14ac:dyDescent="0.25">
      <c r="A109" s="6">
        <v>228</v>
      </c>
      <c r="B109" s="8">
        <v>9000</v>
      </c>
      <c r="C109" s="8">
        <f>20000/12</f>
        <v>1666.6666666666667</v>
      </c>
      <c r="D109" s="8">
        <v>0</v>
      </c>
      <c r="E109" s="8">
        <v>1500</v>
      </c>
      <c r="F109" s="8">
        <v>4000</v>
      </c>
      <c r="G109" s="8">
        <v>2000</v>
      </c>
      <c r="H109" s="8">
        <v>2000</v>
      </c>
      <c r="I109" s="8">
        <v>500</v>
      </c>
      <c r="J109" s="8">
        <v>150</v>
      </c>
      <c r="K109" s="8">
        <v>1500</v>
      </c>
    </row>
    <row r="110" spans="1:11" x14ac:dyDescent="0.25">
      <c r="A110" s="6">
        <v>251</v>
      </c>
      <c r="B110" s="8">
        <v>15000</v>
      </c>
      <c r="C110" s="8">
        <v>3000</v>
      </c>
      <c r="D110" s="8">
        <v>0</v>
      </c>
      <c r="E110" s="8">
        <v>0</v>
      </c>
      <c r="F110" s="8">
        <v>5000</v>
      </c>
      <c r="G110" s="8">
        <v>4000</v>
      </c>
      <c r="H110" s="8">
        <v>6000</v>
      </c>
      <c r="I110" s="8">
        <v>1000</v>
      </c>
      <c r="J110" s="8">
        <v>350</v>
      </c>
      <c r="K110" s="8">
        <v>0</v>
      </c>
    </row>
    <row r="111" spans="1:11" x14ac:dyDescent="0.25">
      <c r="A111" s="6">
        <v>102</v>
      </c>
      <c r="B111" s="8">
        <v>10000</v>
      </c>
      <c r="C111" s="8">
        <v>2000</v>
      </c>
      <c r="D111" s="8">
        <v>0</v>
      </c>
      <c r="E111" s="8">
        <v>0</v>
      </c>
      <c r="F111" s="8">
        <v>10000</v>
      </c>
      <c r="G111" s="8">
        <v>8000</v>
      </c>
      <c r="H111" s="8">
        <v>3000</v>
      </c>
      <c r="I111" s="8">
        <v>300</v>
      </c>
      <c r="J111" s="8">
        <v>300</v>
      </c>
      <c r="K111" s="8">
        <v>2000</v>
      </c>
    </row>
    <row r="112" spans="1:11" x14ac:dyDescent="0.25">
      <c r="A112" s="6">
        <v>104</v>
      </c>
      <c r="B112" s="8">
        <v>10000</v>
      </c>
      <c r="C112" s="8">
        <v>2000</v>
      </c>
      <c r="D112" s="8">
        <v>0</v>
      </c>
      <c r="E112" s="8">
        <v>12500</v>
      </c>
      <c r="F112" s="8">
        <v>0</v>
      </c>
      <c r="G112" s="8">
        <v>3000</v>
      </c>
      <c r="H112" s="8">
        <v>3000</v>
      </c>
      <c r="I112" s="8">
        <v>600</v>
      </c>
      <c r="J112" s="8">
        <v>1800</v>
      </c>
      <c r="K112" s="8">
        <v>2500</v>
      </c>
    </row>
    <row r="113" spans="1:14" x14ac:dyDescent="0.25">
      <c r="A113" s="6">
        <v>105</v>
      </c>
      <c r="B113" s="8">
        <v>12000</v>
      </c>
      <c r="C113" s="8">
        <v>2000</v>
      </c>
      <c r="D113" s="8">
        <v>0</v>
      </c>
      <c r="E113" s="8">
        <v>375</v>
      </c>
      <c r="F113" s="8">
        <v>5000</v>
      </c>
      <c r="G113" s="8">
        <v>2000</v>
      </c>
      <c r="H113" s="8">
        <v>2000</v>
      </c>
      <c r="I113" s="8">
        <v>1500</v>
      </c>
      <c r="J113" s="8">
        <v>250</v>
      </c>
      <c r="K113" s="8">
        <v>4000</v>
      </c>
    </row>
    <row r="114" spans="1:14" x14ac:dyDescent="0.25">
      <c r="A114" s="6">
        <v>6</v>
      </c>
      <c r="B114" s="8">
        <v>20000</v>
      </c>
      <c r="C114" s="8">
        <v>10000</v>
      </c>
      <c r="D114" s="8">
        <v>0</v>
      </c>
      <c r="E114" s="8">
        <v>100000</v>
      </c>
      <c r="F114" s="8">
        <v>8000</v>
      </c>
      <c r="G114" s="8">
        <v>3000</v>
      </c>
      <c r="H114" s="8">
        <v>2000</v>
      </c>
      <c r="I114" s="8">
        <v>1500</v>
      </c>
      <c r="J114" s="8">
        <v>500</v>
      </c>
      <c r="K114" s="8">
        <v>3000</v>
      </c>
    </row>
    <row r="115" spans="1:14" x14ac:dyDescent="0.25">
      <c r="A115" s="6">
        <v>202</v>
      </c>
      <c r="B115" s="8">
        <v>10000</v>
      </c>
      <c r="C115" s="8">
        <v>1000</v>
      </c>
      <c r="D115" s="8">
        <v>0</v>
      </c>
      <c r="E115" s="8">
        <v>0</v>
      </c>
      <c r="F115" s="8">
        <v>5000</v>
      </c>
      <c r="G115" s="8">
        <v>8000</v>
      </c>
      <c r="H115" s="8">
        <v>5000</v>
      </c>
      <c r="I115" s="8">
        <v>500</v>
      </c>
      <c r="J115" s="8">
        <v>1500</v>
      </c>
      <c r="K115" s="8">
        <v>200</v>
      </c>
    </row>
    <row r="116" spans="1:14" x14ac:dyDescent="0.25">
      <c r="A116" s="7">
        <v>203</v>
      </c>
      <c r="B116" s="9">
        <v>2000</v>
      </c>
      <c r="C116" s="9">
        <v>0</v>
      </c>
      <c r="D116" s="9">
        <v>0</v>
      </c>
      <c r="E116" s="9">
        <v>0</v>
      </c>
      <c r="F116" s="9">
        <v>0</v>
      </c>
      <c r="G116" s="9">
        <v>1000</v>
      </c>
      <c r="H116" s="9">
        <v>1000</v>
      </c>
      <c r="I116" s="9">
        <v>200</v>
      </c>
      <c r="J116" s="9">
        <v>700</v>
      </c>
      <c r="K116" s="9">
        <v>0</v>
      </c>
    </row>
    <row r="117" spans="1:14" s="4" customFormat="1" x14ac:dyDescent="0.25">
      <c r="L117" s="3"/>
      <c r="M117" s="3"/>
      <c r="N117" s="3"/>
    </row>
    <row r="118" spans="1:14" x14ac:dyDescent="0.25">
      <c r="A118" s="11">
        <v>7</v>
      </c>
      <c r="B118" s="10">
        <v>10000</v>
      </c>
      <c r="C118" s="10">
        <v>3000</v>
      </c>
      <c r="D118" s="10">
        <v>0</v>
      </c>
      <c r="E118" s="10">
        <v>2000</v>
      </c>
      <c r="F118" s="10">
        <v>0</v>
      </c>
      <c r="G118" s="10">
        <v>2500</v>
      </c>
      <c r="H118" s="10">
        <v>2000</v>
      </c>
      <c r="I118" s="10">
        <v>0</v>
      </c>
      <c r="J118" s="10">
        <v>500</v>
      </c>
      <c r="K118" s="10">
        <v>2000</v>
      </c>
    </row>
    <row r="119" spans="1:14" x14ac:dyDescent="0.25">
      <c r="A119" s="8">
        <v>144</v>
      </c>
      <c r="B119" s="8">
        <v>20000</v>
      </c>
      <c r="C119" s="8">
        <f>15000/12</f>
        <v>1250</v>
      </c>
      <c r="D119" s="8">
        <v>0</v>
      </c>
      <c r="E119" s="8">
        <v>0</v>
      </c>
      <c r="F119" s="8">
        <v>15000</v>
      </c>
      <c r="G119" s="8">
        <v>1000</v>
      </c>
      <c r="H119" s="8">
        <v>2000</v>
      </c>
      <c r="I119" s="8">
        <v>500</v>
      </c>
      <c r="J119" s="8">
        <v>200</v>
      </c>
      <c r="K119" s="8">
        <v>7000</v>
      </c>
    </row>
    <row r="120" spans="1:14" x14ac:dyDescent="0.25">
      <c r="A120" s="8">
        <v>261</v>
      </c>
      <c r="B120" s="8">
        <v>15000</v>
      </c>
      <c r="C120" s="8">
        <f>4000/12</f>
        <v>333.33333333333331</v>
      </c>
      <c r="D120" s="8">
        <v>0</v>
      </c>
      <c r="E120" s="8">
        <f>35000/6</f>
        <v>5833.333333333333</v>
      </c>
      <c r="F120" s="8">
        <v>0</v>
      </c>
      <c r="G120" s="8">
        <v>4000</v>
      </c>
      <c r="H120" s="8">
        <v>400</v>
      </c>
      <c r="I120" s="8">
        <v>500</v>
      </c>
      <c r="J120" s="8">
        <v>200</v>
      </c>
      <c r="K120" s="8">
        <v>0</v>
      </c>
    </row>
    <row r="121" spans="1:14" x14ac:dyDescent="0.25">
      <c r="A121" s="8">
        <v>208</v>
      </c>
      <c r="B121" s="8">
        <v>15000</v>
      </c>
      <c r="C121" s="8">
        <f>25000/12</f>
        <v>2083.3333333333335</v>
      </c>
      <c r="D121" s="8">
        <v>0</v>
      </c>
      <c r="E121" s="8">
        <f>((28/100)*300000)/12</f>
        <v>7000.0000000000009</v>
      </c>
      <c r="F121" s="8">
        <v>15000</v>
      </c>
      <c r="G121" s="8">
        <v>1000</v>
      </c>
      <c r="H121" s="8">
        <v>2000</v>
      </c>
      <c r="I121" s="8">
        <v>500</v>
      </c>
      <c r="J121" s="8">
        <v>300</v>
      </c>
      <c r="K121" s="8">
        <v>0</v>
      </c>
    </row>
    <row r="122" spans="1:14" x14ac:dyDescent="0.25">
      <c r="A122" s="8">
        <v>44</v>
      </c>
      <c r="B122" s="8">
        <v>10000</v>
      </c>
      <c r="C122" s="8">
        <f>10000/12</f>
        <v>833.33333333333337</v>
      </c>
      <c r="D122" s="8">
        <v>0</v>
      </c>
      <c r="E122" s="8">
        <v>5000</v>
      </c>
      <c r="F122" s="8">
        <v>0</v>
      </c>
      <c r="G122" s="8">
        <v>3000</v>
      </c>
      <c r="H122" s="8">
        <v>3000</v>
      </c>
      <c r="I122" s="8">
        <v>500</v>
      </c>
      <c r="J122" s="8">
        <v>600</v>
      </c>
      <c r="K122" s="8">
        <v>4000</v>
      </c>
    </row>
    <row r="123" spans="1:14" x14ac:dyDescent="0.25">
      <c r="A123" s="8">
        <v>209</v>
      </c>
      <c r="B123" s="8">
        <v>8000</v>
      </c>
      <c r="C123" s="8">
        <f>3000/12</f>
        <v>250</v>
      </c>
      <c r="D123" s="8">
        <v>0</v>
      </c>
      <c r="E123" s="8">
        <v>1500</v>
      </c>
      <c r="F123" s="8">
        <v>30000</v>
      </c>
      <c r="G123" s="8">
        <v>5000</v>
      </c>
      <c r="H123" s="8">
        <v>1000</v>
      </c>
      <c r="I123" s="8">
        <v>2000</v>
      </c>
      <c r="J123" s="8">
        <v>250</v>
      </c>
      <c r="K123" s="8">
        <v>0</v>
      </c>
    </row>
    <row r="124" spans="1:14" x14ac:dyDescent="0.25">
      <c r="A124" s="8">
        <v>45</v>
      </c>
      <c r="B124" s="8">
        <v>6000</v>
      </c>
      <c r="C124" s="8">
        <v>6000</v>
      </c>
      <c r="D124" s="8">
        <v>0</v>
      </c>
      <c r="E124" s="8">
        <v>0</v>
      </c>
      <c r="F124" s="8">
        <v>0</v>
      </c>
      <c r="G124" s="8">
        <v>2000</v>
      </c>
      <c r="H124" s="8">
        <v>2000</v>
      </c>
      <c r="I124" s="8">
        <v>0</v>
      </c>
      <c r="J124" s="8">
        <v>300</v>
      </c>
      <c r="K124" s="8">
        <v>3000</v>
      </c>
    </row>
    <row r="125" spans="1:14" x14ac:dyDescent="0.25">
      <c r="A125" s="8">
        <v>210</v>
      </c>
      <c r="B125" s="8">
        <v>8000</v>
      </c>
      <c r="C125" s="8">
        <v>1000</v>
      </c>
      <c r="D125" s="8">
        <v>0</v>
      </c>
      <c r="E125" s="8">
        <v>0</v>
      </c>
      <c r="F125" s="8">
        <v>4000</v>
      </c>
      <c r="G125" s="8">
        <v>200</v>
      </c>
      <c r="H125" s="8">
        <v>1000</v>
      </c>
      <c r="I125" s="8">
        <v>100</v>
      </c>
      <c r="J125" s="8">
        <v>150</v>
      </c>
      <c r="K125" s="8">
        <v>600</v>
      </c>
    </row>
    <row r="126" spans="1:14" x14ac:dyDescent="0.25">
      <c r="A126" s="8">
        <v>211</v>
      </c>
      <c r="B126" s="8">
        <v>15000</v>
      </c>
      <c r="C126" s="8">
        <f>10000/12</f>
        <v>833.33333333333337</v>
      </c>
      <c r="D126" s="8">
        <v>0</v>
      </c>
      <c r="E126" s="8">
        <v>0</v>
      </c>
      <c r="F126" s="8">
        <v>7000</v>
      </c>
      <c r="G126" s="8">
        <v>0</v>
      </c>
      <c r="H126" s="8">
        <v>500</v>
      </c>
      <c r="I126" s="8">
        <v>1000</v>
      </c>
      <c r="J126" s="8">
        <v>350</v>
      </c>
      <c r="K126" s="8">
        <v>2000</v>
      </c>
    </row>
    <row r="127" spans="1:14" x14ac:dyDescent="0.25">
      <c r="A127" s="8">
        <v>212</v>
      </c>
      <c r="B127" s="8">
        <v>10000</v>
      </c>
      <c r="C127" s="8">
        <f>15000/12</f>
        <v>1250</v>
      </c>
      <c r="D127" s="8">
        <v>0</v>
      </c>
      <c r="E127" s="8">
        <f>2000/6</f>
        <v>333.33333333333331</v>
      </c>
      <c r="F127" s="8">
        <v>1000</v>
      </c>
      <c r="G127" s="8">
        <v>5000</v>
      </c>
      <c r="H127" s="8">
        <v>500</v>
      </c>
      <c r="I127" s="8">
        <v>1000</v>
      </c>
      <c r="J127" s="8">
        <f>(60*15)+250</f>
        <v>1150</v>
      </c>
      <c r="K127" s="8">
        <v>0</v>
      </c>
    </row>
    <row r="128" spans="1:14" x14ac:dyDescent="0.25">
      <c r="A128" s="8">
        <v>145</v>
      </c>
      <c r="B128" s="8">
        <v>6000</v>
      </c>
      <c r="C128" s="8">
        <v>1000</v>
      </c>
      <c r="D128" s="8">
        <v>0</v>
      </c>
      <c r="E128" s="8">
        <v>0</v>
      </c>
      <c r="F128" s="8">
        <v>5500</v>
      </c>
      <c r="G128" s="8">
        <v>2000</v>
      </c>
      <c r="H128" s="8">
        <v>1000</v>
      </c>
      <c r="I128" s="8">
        <v>500</v>
      </c>
      <c r="J128" s="8">
        <v>210</v>
      </c>
      <c r="K128" s="8">
        <v>1500</v>
      </c>
    </row>
    <row r="129" spans="1:14" x14ac:dyDescent="0.25">
      <c r="A129" s="8">
        <v>46</v>
      </c>
      <c r="B129" s="8">
        <v>80000</v>
      </c>
      <c r="C129" s="8">
        <f>8000/12</f>
        <v>666.66666666666663</v>
      </c>
      <c r="D129" s="8">
        <v>0</v>
      </c>
      <c r="E129" s="8">
        <v>0</v>
      </c>
      <c r="F129" s="8">
        <v>0</v>
      </c>
      <c r="G129" s="8">
        <v>5000</v>
      </c>
      <c r="H129" s="8">
        <v>3000</v>
      </c>
      <c r="I129" s="8">
        <v>1500</v>
      </c>
      <c r="J129" s="8">
        <v>800</v>
      </c>
      <c r="K129" s="8">
        <v>5000</v>
      </c>
    </row>
    <row r="130" spans="1:14" x14ac:dyDescent="0.25">
      <c r="A130" s="8">
        <v>47</v>
      </c>
      <c r="B130" s="8">
        <v>10000</v>
      </c>
      <c r="C130" s="8">
        <f>10000/12</f>
        <v>833.33333333333337</v>
      </c>
      <c r="D130" s="8">
        <v>0</v>
      </c>
      <c r="E130" s="8">
        <v>0</v>
      </c>
      <c r="F130" s="8">
        <v>5000</v>
      </c>
      <c r="G130" s="8">
        <v>4000</v>
      </c>
      <c r="H130" s="8">
        <v>1000</v>
      </c>
      <c r="I130" s="8">
        <v>500</v>
      </c>
      <c r="J130" s="8">
        <v>700</v>
      </c>
      <c r="K130" s="8">
        <v>3000</v>
      </c>
    </row>
    <row r="131" spans="1:14" x14ac:dyDescent="0.25">
      <c r="A131" s="8">
        <v>213</v>
      </c>
      <c r="B131" s="8">
        <v>12500</v>
      </c>
      <c r="C131" s="8">
        <f>10000/12</f>
        <v>833.33333333333337</v>
      </c>
      <c r="D131" s="8">
        <v>0</v>
      </c>
      <c r="E131" s="8">
        <v>4000</v>
      </c>
      <c r="F131" s="8">
        <v>6000</v>
      </c>
      <c r="G131" s="8">
        <v>2000</v>
      </c>
      <c r="H131" s="8">
        <v>4000</v>
      </c>
      <c r="I131" s="8">
        <v>1000</v>
      </c>
      <c r="J131" s="8">
        <v>700</v>
      </c>
      <c r="K131" s="8">
        <v>300</v>
      </c>
    </row>
    <row r="132" spans="1:14" x14ac:dyDescent="0.25">
      <c r="A132" s="8">
        <v>262</v>
      </c>
      <c r="B132" s="8">
        <v>10000</v>
      </c>
      <c r="C132" s="8">
        <f>10000/12</f>
        <v>833.33333333333337</v>
      </c>
      <c r="D132" s="8">
        <v>0</v>
      </c>
      <c r="E132" s="8">
        <v>1000</v>
      </c>
      <c r="F132" s="8">
        <v>20000</v>
      </c>
      <c r="G132" s="8">
        <v>0</v>
      </c>
      <c r="H132" s="8">
        <v>1000</v>
      </c>
      <c r="I132" s="8">
        <v>2000</v>
      </c>
      <c r="J132" s="8">
        <v>1000</v>
      </c>
      <c r="K132" s="8">
        <v>0</v>
      </c>
    </row>
    <row r="133" spans="1:14" x14ac:dyDescent="0.25">
      <c r="A133" s="8">
        <v>143</v>
      </c>
      <c r="B133" s="8">
        <v>20000</v>
      </c>
      <c r="C133" s="8">
        <f>15000/12</f>
        <v>1250</v>
      </c>
      <c r="D133" s="8">
        <v>0</v>
      </c>
      <c r="E133" s="8">
        <v>0</v>
      </c>
      <c r="F133" s="8">
        <v>5000</v>
      </c>
      <c r="G133" s="8">
        <v>1500</v>
      </c>
      <c r="H133" s="8">
        <v>1000</v>
      </c>
      <c r="I133" s="8">
        <v>250</v>
      </c>
      <c r="J133" s="8">
        <v>1000</v>
      </c>
      <c r="K133" s="8">
        <v>1500</v>
      </c>
    </row>
    <row r="134" spans="1:14" x14ac:dyDescent="0.25">
      <c r="A134" s="8">
        <v>263</v>
      </c>
      <c r="B134" s="8">
        <v>10000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4000</v>
      </c>
      <c r="I134" s="8">
        <v>500</v>
      </c>
      <c r="J134" s="8">
        <v>250</v>
      </c>
      <c r="K134" s="8">
        <v>0</v>
      </c>
    </row>
    <row r="135" spans="1:14" x14ac:dyDescent="0.25">
      <c r="A135" s="8">
        <v>264</v>
      </c>
      <c r="B135" s="8">
        <v>15000</v>
      </c>
      <c r="C135" s="8">
        <v>0</v>
      </c>
      <c r="D135" s="8">
        <v>0</v>
      </c>
      <c r="E135" s="8">
        <v>0</v>
      </c>
      <c r="F135" s="8">
        <v>0</v>
      </c>
      <c r="G135" s="8">
        <v>1000</v>
      </c>
      <c r="H135" s="8">
        <v>3000</v>
      </c>
      <c r="I135" s="8">
        <v>200</v>
      </c>
      <c r="J135" s="8">
        <v>4200</v>
      </c>
      <c r="K135" s="8">
        <v>0</v>
      </c>
    </row>
    <row r="136" spans="1:14" x14ac:dyDescent="0.25">
      <c r="A136" s="8">
        <v>265</v>
      </c>
      <c r="B136" s="8">
        <v>10000</v>
      </c>
      <c r="C136" s="8">
        <f>15000/12</f>
        <v>1250</v>
      </c>
      <c r="D136" s="8">
        <v>0</v>
      </c>
      <c r="E136" s="8">
        <v>0</v>
      </c>
      <c r="F136" s="8">
        <v>0</v>
      </c>
      <c r="G136" s="8">
        <v>3000</v>
      </c>
      <c r="H136" s="8">
        <v>2000</v>
      </c>
      <c r="I136" s="8">
        <v>450</v>
      </c>
      <c r="J136" s="8">
        <v>900</v>
      </c>
      <c r="K136" s="8">
        <v>0</v>
      </c>
    </row>
    <row r="137" spans="1:14" x14ac:dyDescent="0.25">
      <c r="A137" s="8">
        <v>266</v>
      </c>
      <c r="B137" s="8">
        <v>25000</v>
      </c>
      <c r="C137" s="8">
        <f>5000/12</f>
        <v>416.66666666666669</v>
      </c>
      <c r="D137" s="8">
        <v>0</v>
      </c>
      <c r="E137" s="8">
        <v>0</v>
      </c>
      <c r="F137" s="8">
        <v>0</v>
      </c>
      <c r="G137" s="8">
        <v>2000</v>
      </c>
      <c r="H137" s="8">
        <v>500</v>
      </c>
      <c r="I137" s="8">
        <v>200</v>
      </c>
      <c r="J137" s="8">
        <v>250</v>
      </c>
      <c r="K137" s="8">
        <v>0</v>
      </c>
    </row>
    <row r="138" spans="1:14" x14ac:dyDescent="0.25">
      <c r="A138" s="8">
        <v>267</v>
      </c>
      <c r="B138" s="8">
        <v>20000</v>
      </c>
      <c r="C138" s="8">
        <f>25000/12</f>
        <v>2083.3333333333335</v>
      </c>
      <c r="D138" s="8">
        <v>0</v>
      </c>
      <c r="E138" s="8">
        <v>3200</v>
      </c>
      <c r="F138" s="8">
        <v>20000</v>
      </c>
      <c r="G138" s="8">
        <v>2000</v>
      </c>
      <c r="H138" s="8">
        <v>1000</v>
      </c>
      <c r="I138" s="8">
        <v>500</v>
      </c>
      <c r="J138" s="8">
        <v>200</v>
      </c>
      <c r="K138" s="8">
        <v>1000</v>
      </c>
    </row>
    <row r="139" spans="1:14" x14ac:dyDescent="0.25">
      <c r="A139" s="8">
        <v>146</v>
      </c>
      <c r="B139" s="8">
        <v>10000</v>
      </c>
      <c r="C139" s="8">
        <v>3000</v>
      </c>
      <c r="D139" s="8">
        <v>0</v>
      </c>
      <c r="E139" s="8">
        <v>0</v>
      </c>
      <c r="F139" s="8">
        <v>7000</v>
      </c>
      <c r="G139" s="8">
        <v>500</v>
      </c>
      <c r="H139" s="8">
        <v>1000</v>
      </c>
      <c r="I139" s="8">
        <v>1000</v>
      </c>
      <c r="J139" s="8">
        <v>1200</v>
      </c>
      <c r="K139" s="8">
        <v>5000</v>
      </c>
    </row>
    <row r="140" spans="1:14" x14ac:dyDescent="0.25">
      <c r="A140" s="8">
        <v>43</v>
      </c>
      <c r="B140" s="8">
        <v>10000</v>
      </c>
      <c r="C140" s="8">
        <v>10000</v>
      </c>
      <c r="D140" s="8">
        <v>0</v>
      </c>
      <c r="E140" s="8">
        <v>0</v>
      </c>
      <c r="F140" s="8">
        <v>6000</v>
      </c>
      <c r="G140" s="8">
        <v>4000</v>
      </c>
      <c r="H140" s="8">
        <v>2000</v>
      </c>
      <c r="I140" s="8">
        <v>1000</v>
      </c>
      <c r="J140" s="8">
        <v>350</v>
      </c>
      <c r="K140" s="8">
        <v>3000</v>
      </c>
    </row>
    <row r="141" spans="1:14" x14ac:dyDescent="0.25">
      <c r="A141" s="8">
        <v>257</v>
      </c>
      <c r="B141" s="8">
        <v>16000</v>
      </c>
      <c r="C141" s="8">
        <v>0</v>
      </c>
      <c r="D141" s="8">
        <v>0</v>
      </c>
      <c r="E141" s="8">
        <v>0</v>
      </c>
      <c r="F141" s="8">
        <v>3000</v>
      </c>
      <c r="G141" s="8">
        <v>0</v>
      </c>
      <c r="H141" s="8">
        <v>600</v>
      </c>
      <c r="I141" s="8">
        <v>0</v>
      </c>
      <c r="J141" s="8">
        <v>800</v>
      </c>
      <c r="K141" s="8">
        <v>0</v>
      </c>
    </row>
    <row r="142" spans="1:14" x14ac:dyDescent="0.25">
      <c r="A142" s="9">
        <v>103</v>
      </c>
      <c r="B142" s="9">
        <v>15000</v>
      </c>
      <c r="C142" s="9">
        <v>2000</v>
      </c>
      <c r="D142" s="9">
        <v>0</v>
      </c>
      <c r="E142" s="9">
        <v>0</v>
      </c>
      <c r="F142" s="9">
        <v>4000</v>
      </c>
      <c r="G142" s="9">
        <v>1000</v>
      </c>
      <c r="H142" s="9">
        <v>1000</v>
      </c>
      <c r="I142" s="9">
        <v>200</v>
      </c>
      <c r="J142" s="9">
        <v>500</v>
      </c>
      <c r="K142" s="9">
        <v>2500</v>
      </c>
    </row>
    <row r="143" spans="1:14" s="4" customFormat="1" x14ac:dyDescent="0.25">
      <c r="L143" s="3"/>
      <c r="M143" s="3"/>
      <c r="N143" s="3"/>
    </row>
    <row r="144" spans="1:14" x14ac:dyDescent="0.25">
      <c r="A144" s="10">
        <v>214</v>
      </c>
      <c r="B144" s="10">
        <v>20000</v>
      </c>
      <c r="C144" s="10">
        <v>1000</v>
      </c>
      <c r="D144" s="10">
        <v>0</v>
      </c>
      <c r="E144" s="10">
        <f>26000/6</f>
        <v>4333.333333333333</v>
      </c>
      <c r="F144" s="10">
        <v>8000</v>
      </c>
      <c r="G144" s="10">
        <v>0</v>
      </c>
      <c r="H144" s="10">
        <v>5000</v>
      </c>
      <c r="I144" s="10">
        <v>500</v>
      </c>
      <c r="J144" s="10">
        <v>950</v>
      </c>
      <c r="K144" s="10">
        <v>3000</v>
      </c>
    </row>
    <row r="145" spans="1:14" x14ac:dyDescent="0.25">
      <c r="A145" s="8">
        <v>229</v>
      </c>
      <c r="B145" s="8">
        <v>15000</v>
      </c>
      <c r="C145" s="8">
        <f>30000/12</f>
        <v>2500</v>
      </c>
      <c r="D145" s="8">
        <v>0</v>
      </c>
      <c r="E145" s="8">
        <v>6000</v>
      </c>
      <c r="F145" s="8">
        <v>0</v>
      </c>
      <c r="G145" s="8">
        <v>2500</v>
      </c>
      <c r="H145" s="8">
        <v>5000</v>
      </c>
      <c r="I145" s="8">
        <v>2000</v>
      </c>
      <c r="J145" s="8">
        <v>1400</v>
      </c>
      <c r="K145" s="8">
        <v>3000</v>
      </c>
    </row>
    <row r="146" spans="1:14" x14ac:dyDescent="0.25">
      <c r="A146" s="8">
        <v>230</v>
      </c>
      <c r="B146" s="8">
        <v>15000</v>
      </c>
      <c r="C146" s="8">
        <f>10000/12</f>
        <v>833.33333333333337</v>
      </c>
      <c r="D146" s="8">
        <v>0</v>
      </c>
      <c r="E146" s="8">
        <v>2400</v>
      </c>
      <c r="F146" s="8">
        <v>6000</v>
      </c>
      <c r="G146" s="8">
        <v>3000</v>
      </c>
      <c r="H146" s="8">
        <v>2000</v>
      </c>
      <c r="I146" s="8">
        <v>1000</v>
      </c>
      <c r="J146" s="8">
        <v>0</v>
      </c>
      <c r="K146" s="8">
        <v>6000</v>
      </c>
    </row>
    <row r="147" spans="1:14" x14ac:dyDescent="0.25">
      <c r="A147" s="8">
        <v>231</v>
      </c>
      <c r="B147" s="8">
        <v>15000</v>
      </c>
      <c r="C147" s="8">
        <f>60000/12</f>
        <v>5000</v>
      </c>
      <c r="D147" s="8">
        <v>0</v>
      </c>
      <c r="E147" s="8">
        <v>14000</v>
      </c>
      <c r="F147" s="8">
        <v>50000</v>
      </c>
      <c r="G147" s="8">
        <v>3000</v>
      </c>
      <c r="H147" s="8">
        <v>5000</v>
      </c>
      <c r="I147" s="8">
        <v>3000</v>
      </c>
      <c r="J147" s="8">
        <v>500</v>
      </c>
      <c r="K147" s="8">
        <v>5000</v>
      </c>
    </row>
    <row r="148" spans="1:14" x14ac:dyDescent="0.25">
      <c r="A148" s="8">
        <v>269</v>
      </c>
      <c r="B148" s="8">
        <v>20000</v>
      </c>
      <c r="C148" s="8">
        <f>30000/12</f>
        <v>2500</v>
      </c>
      <c r="D148" s="8">
        <v>0</v>
      </c>
      <c r="E148" s="8">
        <v>0</v>
      </c>
      <c r="F148" s="8">
        <v>5000</v>
      </c>
      <c r="G148" s="8">
        <v>500</v>
      </c>
      <c r="H148" s="8">
        <v>4000</v>
      </c>
      <c r="I148" s="8">
        <v>0</v>
      </c>
      <c r="J148" s="8">
        <v>300</v>
      </c>
      <c r="K148" s="8">
        <v>0</v>
      </c>
    </row>
    <row r="149" spans="1:14" x14ac:dyDescent="0.25">
      <c r="A149" s="8">
        <v>270</v>
      </c>
      <c r="B149" s="8">
        <v>8000</v>
      </c>
      <c r="C149" s="8">
        <v>1000</v>
      </c>
      <c r="D149" s="8">
        <v>0</v>
      </c>
      <c r="E149" s="8">
        <f>8500+2750</f>
        <v>11250</v>
      </c>
      <c r="F149" s="8">
        <v>0</v>
      </c>
      <c r="G149" s="8">
        <v>15000</v>
      </c>
      <c r="H149" s="8">
        <v>3000</v>
      </c>
      <c r="I149" s="8">
        <v>700</v>
      </c>
      <c r="J149" s="8">
        <v>600</v>
      </c>
      <c r="K149" s="8">
        <v>0</v>
      </c>
    </row>
    <row r="150" spans="1:14" x14ac:dyDescent="0.25">
      <c r="A150" s="8">
        <v>317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</row>
    <row r="151" spans="1:14" x14ac:dyDescent="0.25">
      <c r="A151" s="8">
        <v>318</v>
      </c>
      <c r="B151" s="8">
        <v>15000</v>
      </c>
      <c r="C151" s="8">
        <f>20000/12</f>
        <v>1666.6666666666667</v>
      </c>
      <c r="D151" s="8">
        <v>0</v>
      </c>
      <c r="E151" s="8">
        <v>0</v>
      </c>
      <c r="F151" s="8">
        <v>5000</v>
      </c>
      <c r="G151" s="8">
        <v>2500</v>
      </c>
      <c r="H151" s="8">
        <v>2000</v>
      </c>
      <c r="I151" s="8">
        <v>1000</v>
      </c>
      <c r="J151" s="8">
        <v>1000</v>
      </c>
      <c r="K151" s="8">
        <v>5000</v>
      </c>
    </row>
    <row r="152" spans="1:14" x14ac:dyDescent="0.25">
      <c r="A152" s="8">
        <v>319</v>
      </c>
      <c r="B152" s="8">
        <v>10000</v>
      </c>
      <c r="C152" s="8">
        <f>5000/12</f>
        <v>416.66666666666669</v>
      </c>
      <c r="D152" s="8">
        <v>0</v>
      </c>
      <c r="E152" s="8">
        <v>0</v>
      </c>
      <c r="F152" s="8">
        <v>0</v>
      </c>
      <c r="G152" s="8">
        <v>1500</v>
      </c>
      <c r="H152" s="8">
        <v>0</v>
      </c>
      <c r="I152" s="8">
        <v>0</v>
      </c>
      <c r="J152" s="8">
        <v>0</v>
      </c>
      <c r="K152" s="8">
        <v>2000</v>
      </c>
    </row>
    <row r="153" spans="1:14" x14ac:dyDescent="0.25">
      <c r="A153" s="9">
        <v>232</v>
      </c>
      <c r="B153" s="9">
        <v>15000</v>
      </c>
      <c r="C153" s="9">
        <f>20000/12</f>
        <v>1666.6666666666667</v>
      </c>
      <c r="D153" s="9">
        <v>0</v>
      </c>
      <c r="E153" s="9">
        <v>0</v>
      </c>
      <c r="F153" s="9">
        <v>0</v>
      </c>
      <c r="G153" s="9">
        <v>5000</v>
      </c>
      <c r="H153" s="9">
        <v>3000</v>
      </c>
      <c r="I153" s="9">
        <v>1000</v>
      </c>
      <c r="J153" s="9">
        <v>5000</v>
      </c>
      <c r="K153" s="9">
        <v>1000</v>
      </c>
    </row>
    <row r="154" spans="1:14" s="4" customFormat="1" x14ac:dyDescent="0.25">
      <c r="L154" s="3"/>
      <c r="M154" s="3"/>
      <c r="N154" s="3"/>
    </row>
    <row r="155" spans="1:14" x14ac:dyDescent="0.25">
      <c r="A155" s="10">
        <v>156</v>
      </c>
      <c r="B155" s="10">
        <v>10000</v>
      </c>
      <c r="C155" s="10">
        <f>10000/12</f>
        <v>833.33333333333337</v>
      </c>
      <c r="D155" s="10">
        <v>0</v>
      </c>
      <c r="E155" s="10">
        <v>0</v>
      </c>
      <c r="F155" s="10">
        <v>0</v>
      </c>
      <c r="G155" s="10">
        <v>5000</v>
      </c>
      <c r="H155" s="10">
        <v>1000</v>
      </c>
      <c r="I155" s="10">
        <v>500</v>
      </c>
      <c r="J155" s="10">
        <v>450</v>
      </c>
      <c r="K155" s="10">
        <v>1500</v>
      </c>
    </row>
    <row r="156" spans="1:14" x14ac:dyDescent="0.25">
      <c r="A156" s="8">
        <v>151</v>
      </c>
      <c r="B156" s="8">
        <v>20000</v>
      </c>
      <c r="C156" s="8">
        <v>2000</v>
      </c>
      <c r="D156" s="8">
        <v>0</v>
      </c>
      <c r="E156" s="8">
        <v>0</v>
      </c>
      <c r="F156" s="8">
        <v>10000</v>
      </c>
      <c r="G156" s="8">
        <v>1000</v>
      </c>
      <c r="H156" s="8">
        <v>800</v>
      </c>
      <c r="I156" s="8">
        <v>500</v>
      </c>
      <c r="J156" s="8">
        <v>2000</v>
      </c>
      <c r="K156" s="8">
        <v>1600</v>
      </c>
    </row>
    <row r="157" spans="1:14" x14ac:dyDescent="0.25">
      <c r="A157" s="8">
        <v>157</v>
      </c>
      <c r="B157" s="8">
        <v>8000</v>
      </c>
      <c r="C157" s="8">
        <v>1000</v>
      </c>
      <c r="D157" s="8">
        <v>0</v>
      </c>
      <c r="E157" s="8">
        <v>0</v>
      </c>
      <c r="F157" s="8">
        <v>0</v>
      </c>
      <c r="G157" s="8">
        <v>2500</v>
      </c>
      <c r="H157" s="8">
        <v>500</v>
      </c>
      <c r="I157" s="8">
        <v>400</v>
      </c>
      <c r="J157" s="8">
        <v>1000</v>
      </c>
      <c r="K157" s="8">
        <v>1000</v>
      </c>
    </row>
    <row r="158" spans="1:14" x14ac:dyDescent="0.25">
      <c r="A158" s="8">
        <v>50</v>
      </c>
      <c r="B158" s="8">
        <v>10000</v>
      </c>
      <c r="C158" s="8">
        <f>10000/12</f>
        <v>833.33333333333337</v>
      </c>
      <c r="D158" s="8">
        <v>0</v>
      </c>
      <c r="E158" s="8">
        <v>0</v>
      </c>
      <c r="F158" s="8">
        <v>0</v>
      </c>
      <c r="G158" s="8">
        <v>3000</v>
      </c>
      <c r="H158" s="8">
        <v>2000</v>
      </c>
      <c r="I158" s="8">
        <v>1000</v>
      </c>
      <c r="J158" s="8">
        <v>475</v>
      </c>
      <c r="K158" s="8">
        <v>3000</v>
      </c>
    </row>
    <row r="159" spans="1:14" x14ac:dyDescent="0.25">
      <c r="A159" s="8">
        <v>49</v>
      </c>
      <c r="B159" s="8">
        <v>10000</v>
      </c>
      <c r="C159" s="8">
        <f>10000/12</f>
        <v>833.33333333333337</v>
      </c>
      <c r="D159" s="8">
        <v>0</v>
      </c>
      <c r="E159" s="8">
        <v>0</v>
      </c>
      <c r="F159" s="8">
        <v>0</v>
      </c>
      <c r="G159" s="8">
        <v>1000</v>
      </c>
      <c r="H159" s="8">
        <v>2000</v>
      </c>
      <c r="I159" s="8">
        <v>500</v>
      </c>
      <c r="J159" s="8">
        <v>210</v>
      </c>
      <c r="K159" s="8">
        <v>3000</v>
      </c>
    </row>
    <row r="160" spans="1:14" x14ac:dyDescent="0.25">
      <c r="A160" s="8">
        <v>44</v>
      </c>
      <c r="B160" s="8">
        <v>20000</v>
      </c>
      <c r="C160" s="8">
        <f>20000/12</f>
        <v>1666.6666666666667</v>
      </c>
      <c r="D160" s="8">
        <v>0</v>
      </c>
      <c r="E160" s="8">
        <v>1000</v>
      </c>
      <c r="F160" s="8">
        <v>0</v>
      </c>
      <c r="G160" s="8">
        <v>3000</v>
      </c>
      <c r="H160" s="8">
        <v>4000</v>
      </c>
      <c r="I160" s="8">
        <v>800</v>
      </c>
      <c r="J160" s="8">
        <v>1000</v>
      </c>
      <c r="K160" s="8">
        <v>10000</v>
      </c>
    </row>
    <row r="161" spans="1:14" x14ac:dyDescent="0.25">
      <c r="A161" s="8">
        <v>45</v>
      </c>
      <c r="B161" s="8">
        <v>15000</v>
      </c>
      <c r="C161" s="8">
        <v>15000</v>
      </c>
      <c r="D161" s="8">
        <v>0</v>
      </c>
      <c r="E161" s="8">
        <v>0</v>
      </c>
      <c r="F161" s="8">
        <v>0</v>
      </c>
      <c r="G161" s="8">
        <v>6000</v>
      </c>
      <c r="H161" s="8">
        <v>3000</v>
      </c>
      <c r="I161" s="8">
        <v>200</v>
      </c>
      <c r="J161" s="8">
        <v>400</v>
      </c>
      <c r="K161" s="8">
        <v>4000</v>
      </c>
    </row>
    <row r="162" spans="1:14" x14ac:dyDescent="0.25">
      <c r="A162" s="8">
        <v>46</v>
      </c>
      <c r="B162" s="8">
        <v>15000</v>
      </c>
      <c r="C162" s="8">
        <f>15000/12</f>
        <v>1250</v>
      </c>
      <c r="D162" s="8">
        <v>0</v>
      </c>
      <c r="E162" s="8">
        <v>1250</v>
      </c>
      <c r="F162" s="8">
        <v>15000</v>
      </c>
      <c r="G162" s="8">
        <v>6000</v>
      </c>
      <c r="H162" s="8">
        <v>3000</v>
      </c>
      <c r="I162" s="8">
        <v>1000</v>
      </c>
      <c r="J162" s="8">
        <v>500</v>
      </c>
      <c r="K162" s="8">
        <v>6000</v>
      </c>
    </row>
    <row r="163" spans="1:14" x14ac:dyDescent="0.25">
      <c r="A163" s="8">
        <v>48</v>
      </c>
      <c r="B163" s="8">
        <v>15000</v>
      </c>
      <c r="C163" s="8">
        <f>15000/12</f>
        <v>1250</v>
      </c>
      <c r="D163" s="8">
        <v>0</v>
      </c>
      <c r="E163" s="8">
        <v>0</v>
      </c>
      <c r="F163" s="8">
        <v>0</v>
      </c>
      <c r="G163" s="8">
        <v>20000</v>
      </c>
      <c r="H163" s="8">
        <v>5000</v>
      </c>
      <c r="I163" s="8">
        <v>400</v>
      </c>
      <c r="J163" s="8">
        <v>550</v>
      </c>
      <c r="K163" s="8">
        <v>5000</v>
      </c>
    </row>
    <row r="164" spans="1:14" x14ac:dyDescent="0.25">
      <c r="A164" s="8">
        <v>47</v>
      </c>
      <c r="B164" s="8">
        <v>15000</v>
      </c>
      <c r="C164" s="8">
        <f>15000/12</f>
        <v>1250</v>
      </c>
      <c r="D164" s="8">
        <v>0</v>
      </c>
      <c r="E164" s="8">
        <v>9500</v>
      </c>
      <c r="F164" s="8">
        <v>4000</v>
      </c>
      <c r="G164" s="8">
        <v>2000</v>
      </c>
      <c r="H164" s="8">
        <v>6000</v>
      </c>
      <c r="I164" s="8">
        <v>1000</v>
      </c>
      <c r="J164" s="8">
        <v>600</v>
      </c>
      <c r="K164" s="8">
        <v>2000</v>
      </c>
    </row>
    <row r="165" spans="1:14" x14ac:dyDescent="0.25">
      <c r="A165" s="8">
        <v>149</v>
      </c>
      <c r="B165" s="8">
        <v>8000</v>
      </c>
      <c r="C165" s="8">
        <f>10000/12</f>
        <v>833.33333333333337</v>
      </c>
      <c r="D165" s="8">
        <v>0</v>
      </c>
      <c r="E165" s="8">
        <v>0</v>
      </c>
      <c r="F165" s="8">
        <v>0</v>
      </c>
      <c r="G165" s="8">
        <v>1000</v>
      </c>
      <c r="H165" s="8">
        <v>5000</v>
      </c>
      <c r="I165" s="8">
        <v>3000</v>
      </c>
      <c r="J165" s="8">
        <v>750</v>
      </c>
      <c r="K165" s="8">
        <v>2000</v>
      </c>
    </row>
    <row r="166" spans="1:14" x14ac:dyDescent="0.25">
      <c r="A166" s="8">
        <v>150</v>
      </c>
      <c r="B166" s="8">
        <v>10000</v>
      </c>
      <c r="C166" s="8">
        <v>2000</v>
      </c>
      <c r="D166" s="8">
        <v>0</v>
      </c>
      <c r="E166" s="8">
        <v>0</v>
      </c>
      <c r="F166" s="8">
        <v>300</v>
      </c>
      <c r="G166" s="8">
        <v>3000</v>
      </c>
      <c r="H166" s="8">
        <v>1500</v>
      </c>
      <c r="I166" s="8">
        <v>200</v>
      </c>
      <c r="J166" s="8">
        <v>700</v>
      </c>
      <c r="K166" s="8">
        <v>800</v>
      </c>
    </row>
    <row r="167" spans="1:14" x14ac:dyDescent="0.25">
      <c r="A167" s="8">
        <v>153</v>
      </c>
      <c r="B167" s="8">
        <v>5000</v>
      </c>
      <c r="C167" s="8">
        <v>1000</v>
      </c>
      <c r="D167" s="8">
        <v>0</v>
      </c>
      <c r="E167" s="8">
        <v>1000</v>
      </c>
      <c r="F167" s="8">
        <v>0</v>
      </c>
      <c r="G167" s="8">
        <v>2000</v>
      </c>
      <c r="H167" s="8">
        <v>2000</v>
      </c>
      <c r="I167" s="8">
        <v>0</v>
      </c>
      <c r="J167" s="8">
        <v>300</v>
      </c>
      <c r="K167" s="8">
        <v>3000</v>
      </c>
    </row>
    <row r="168" spans="1:14" x14ac:dyDescent="0.25">
      <c r="A168" s="8">
        <v>152</v>
      </c>
      <c r="B168" s="8">
        <v>15000</v>
      </c>
      <c r="C168" s="8">
        <v>2000</v>
      </c>
      <c r="D168" s="8">
        <v>0</v>
      </c>
      <c r="E168" s="8">
        <v>0</v>
      </c>
      <c r="F168" s="8">
        <v>3000</v>
      </c>
      <c r="G168" s="8">
        <v>10000</v>
      </c>
      <c r="H168" s="8">
        <v>5000</v>
      </c>
      <c r="I168" s="8">
        <v>1000</v>
      </c>
      <c r="J168" s="8">
        <v>250</v>
      </c>
      <c r="K168" s="8">
        <v>4000</v>
      </c>
    </row>
    <row r="169" spans="1:14" x14ac:dyDescent="0.25">
      <c r="A169" s="8">
        <v>155</v>
      </c>
      <c r="B169" s="8">
        <v>12000</v>
      </c>
      <c r="C169" s="8">
        <f>20000/12</f>
        <v>1666.6666666666667</v>
      </c>
      <c r="D169" s="8">
        <v>0</v>
      </c>
      <c r="E169" s="8">
        <v>0</v>
      </c>
      <c r="F169" s="8">
        <v>8000</v>
      </c>
      <c r="G169" s="8">
        <v>2000</v>
      </c>
      <c r="H169" s="8">
        <v>1500</v>
      </c>
      <c r="I169" s="8">
        <v>200</v>
      </c>
      <c r="J169" s="8">
        <v>350</v>
      </c>
      <c r="K169" s="8">
        <v>2000</v>
      </c>
    </row>
    <row r="170" spans="1:14" x14ac:dyDescent="0.25">
      <c r="A170" s="9">
        <v>154</v>
      </c>
      <c r="B170" s="9">
        <v>12000</v>
      </c>
      <c r="C170" s="9">
        <f>20000/12</f>
        <v>1666.6666666666667</v>
      </c>
      <c r="D170" s="9">
        <v>0</v>
      </c>
      <c r="E170" s="9">
        <v>0</v>
      </c>
      <c r="F170" s="9">
        <v>10000</v>
      </c>
      <c r="G170" s="9">
        <v>300</v>
      </c>
      <c r="H170" s="9">
        <v>500</v>
      </c>
      <c r="I170" s="9">
        <v>200</v>
      </c>
      <c r="J170" s="9">
        <v>300</v>
      </c>
      <c r="K170" s="9">
        <v>1500</v>
      </c>
    </row>
    <row r="171" spans="1:14" s="4" customFormat="1" x14ac:dyDescent="0.25">
      <c r="L171" s="3"/>
      <c r="M171" s="3"/>
      <c r="N171" s="3"/>
    </row>
    <row r="172" spans="1:14" x14ac:dyDescent="0.25">
      <c r="A172" s="10">
        <v>163</v>
      </c>
      <c r="B172" s="10">
        <v>10000</v>
      </c>
      <c r="C172" s="10">
        <v>4000</v>
      </c>
      <c r="D172" s="10">
        <v>0</v>
      </c>
      <c r="E172" s="10">
        <v>0</v>
      </c>
      <c r="F172" s="10">
        <v>0</v>
      </c>
      <c r="G172" s="10">
        <v>1000</v>
      </c>
      <c r="H172" s="10">
        <v>1000</v>
      </c>
      <c r="I172" s="10">
        <v>250</v>
      </c>
      <c r="J172" s="10">
        <v>250</v>
      </c>
      <c r="K172" s="10">
        <v>1500</v>
      </c>
    </row>
    <row r="173" spans="1:14" x14ac:dyDescent="0.25">
      <c r="A173" s="8">
        <v>164</v>
      </c>
      <c r="B173" s="8">
        <v>10000</v>
      </c>
      <c r="C173" s="8">
        <f>30000/12</f>
        <v>2500</v>
      </c>
      <c r="D173" s="8">
        <v>0</v>
      </c>
      <c r="E173" s="8">
        <v>0</v>
      </c>
      <c r="F173" s="8">
        <v>5000</v>
      </c>
      <c r="G173" s="8">
        <v>1500</v>
      </c>
      <c r="H173" s="8">
        <v>2000</v>
      </c>
      <c r="I173" s="8">
        <v>1000</v>
      </c>
      <c r="J173" s="8">
        <v>300</v>
      </c>
      <c r="K173" s="8">
        <v>3000</v>
      </c>
    </row>
    <row r="174" spans="1:14" x14ac:dyDescent="0.25">
      <c r="A174" s="8">
        <v>165</v>
      </c>
      <c r="B174" s="8">
        <v>10000</v>
      </c>
      <c r="C174" s="8">
        <f>30000/12</f>
        <v>2500</v>
      </c>
      <c r="D174" s="8">
        <v>0</v>
      </c>
      <c r="E174" s="8">
        <v>0</v>
      </c>
      <c r="F174" s="8">
        <v>0</v>
      </c>
      <c r="G174" s="8">
        <v>2000</v>
      </c>
      <c r="H174" s="8">
        <v>5000</v>
      </c>
      <c r="I174" s="8">
        <v>2000</v>
      </c>
      <c r="J174" s="8">
        <v>900</v>
      </c>
      <c r="K174" s="8">
        <v>1500</v>
      </c>
    </row>
    <row r="175" spans="1:14" x14ac:dyDescent="0.25">
      <c r="A175" s="8">
        <v>56</v>
      </c>
      <c r="B175" s="8">
        <v>10000</v>
      </c>
      <c r="C175" s="8">
        <f>10000/12</f>
        <v>833.33333333333337</v>
      </c>
      <c r="D175" s="8">
        <v>0</v>
      </c>
      <c r="E175" s="8">
        <v>0</v>
      </c>
      <c r="F175" s="8">
        <v>2000</v>
      </c>
      <c r="G175" s="8">
        <v>4000</v>
      </c>
      <c r="H175" s="8">
        <v>2000</v>
      </c>
      <c r="I175" s="8">
        <v>1000</v>
      </c>
      <c r="J175" s="8">
        <v>200</v>
      </c>
      <c r="K175" s="8">
        <v>3000</v>
      </c>
    </row>
    <row r="176" spans="1:14" x14ac:dyDescent="0.25">
      <c r="A176" s="8">
        <v>58</v>
      </c>
      <c r="B176" s="8">
        <v>15000</v>
      </c>
      <c r="C176" s="8">
        <f>15000/12</f>
        <v>1250</v>
      </c>
      <c r="D176" s="8">
        <v>0</v>
      </c>
      <c r="E176" s="8">
        <v>0</v>
      </c>
      <c r="F176" s="8">
        <v>2000</v>
      </c>
      <c r="G176" s="8">
        <v>4000</v>
      </c>
      <c r="H176" s="8">
        <v>0</v>
      </c>
      <c r="I176" s="8">
        <v>500</v>
      </c>
      <c r="J176" s="8">
        <v>0</v>
      </c>
      <c r="K176" s="8">
        <v>3000</v>
      </c>
    </row>
    <row r="177" spans="1:14" x14ac:dyDescent="0.25">
      <c r="A177" s="8">
        <v>59</v>
      </c>
      <c r="B177" s="8">
        <v>10000</v>
      </c>
      <c r="C177" s="8">
        <f>10000/12</f>
        <v>833.33333333333337</v>
      </c>
      <c r="D177" s="8">
        <v>0</v>
      </c>
      <c r="E177" s="8">
        <v>0</v>
      </c>
      <c r="F177" s="8">
        <v>0</v>
      </c>
      <c r="G177" s="8">
        <v>3000</v>
      </c>
      <c r="H177" s="8">
        <v>2000</v>
      </c>
      <c r="I177" s="8">
        <v>1000</v>
      </c>
      <c r="J177" s="8">
        <v>700</v>
      </c>
      <c r="K177" s="8">
        <v>5000</v>
      </c>
    </row>
    <row r="178" spans="1:14" x14ac:dyDescent="0.25">
      <c r="A178" s="8">
        <v>60</v>
      </c>
      <c r="B178" s="8">
        <v>15000</v>
      </c>
      <c r="C178" s="8">
        <f>15000/12</f>
        <v>1250</v>
      </c>
      <c r="D178" s="8">
        <v>0</v>
      </c>
      <c r="E178" s="8">
        <v>0</v>
      </c>
      <c r="F178" s="8">
        <v>3000</v>
      </c>
      <c r="G178" s="8">
        <v>4000</v>
      </c>
      <c r="H178" s="8">
        <v>2000</v>
      </c>
      <c r="I178" s="8">
        <v>0</v>
      </c>
      <c r="J178" s="8">
        <v>270</v>
      </c>
      <c r="K178" s="8">
        <v>5000</v>
      </c>
    </row>
    <row r="179" spans="1:14" x14ac:dyDescent="0.25">
      <c r="A179" s="8">
        <v>61</v>
      </c>
      <c r="B179" s="8">
        <v>20000</v>
      </c>
      <c r="C179" s="8">
        <f>15000/12</f>
        <v>1250</v>
      </c>
      <c r="D179" s="8">
        <v>0</v>
      </c>
      <c r="E179" s="8">
        <v>0</v>
      </c>
      <c r="F179" s="8">
        <v>5000</v>
      </c>
      <c r="G179" s="8">
        <v>10000</v>
      </c>
      <c r="H179" s="8">
        <v>5000</v>
      </c>
      <c r="I179" s="8">
        <v>200</v>
      </c>
      <c r="J179" s="8">
        <v>250</v>
      </c>
      <c r="K179" s="8">
        <v>5000</v>
      </c>
    </row>
    <row r="180" spans="1:14" x14ac:dyDescent="0.25">
      <c r="A180" s="8">
        <v>62</v>
      </c>
      <c r="B180" s="8">
        <v>25000</v>
      </c>
      <c r="C180" s="8">
        <f>25000/12</f>
        <v>2083.3333333333335</v>
      </c>
      <c r="D180" s="8">
        <v>0</v>
      </c>
      <c r="E180" s="8">
        <v>0</v>
      </c>
      <c r="F180" s="8">
        <v>0</v>
      </c>
      <c r="G180" s="8">
        <v>4000</v>
      </c>
      <c r="H180" s="8">
        <v>3000</v>
      </c>
      <c r="I180" s="8">
        <v>600</v>
      </c>
      <c r="J180" s="8">
        <v>700</v>
      </c>
      <c r="K180" s="8">
        <v>5000</v>
      </c>
    </row>
    <row r="181" spans="1:14" x14ac:dyDescent="0.25">
      <c r="A181" s="8">
        <v>63</v>
      </c>
      <c r="B181" s="8">
        <v>6000</v>
      </c>
      <c r="C181" s="8">
        <v>6000</v>
      </c>
      <c r="D181" s="8">
        <v>0</v>
      </c>
      <c r="E181" s="8">
        <v>0</v>
      </c>
      <c r="F181" s="8">
        <v>0</v>
      </c>
      <c r="G181" s="8">
        <v>8000</v>
      </c>
      <c r="H181" s="8">
        <v>2000</v>
      </c>
      <c r="I181" s="8">
        <v>0</v>
      </c>
      <c r="J181" s="8">
        <v>750</v>
      </c>
      <c r="K181" s="8">
        <v>3000</v>
      </c>
    </row>
    <row r="182" spans="1:14" x14ac:dyDescent="0.25">
      <c r="A182" s="8">
        <v>65</v>
      </c>
      <c r="B182" s="8">
        <v>25000</v>
      </c>
      <c r="C182" s="8">
        <f>25000/12</f>
        <v>2083.3333333333335</v>
      </c>
      <c r="D182" s="8">
        <v>0</v>
      </c>
      <c r="E182" s="8">
        <v>0</v>
      </c>
      <c r="F182" s="8">
        <v>0</v>
      </c>
      <c r="G182" s="8">
        <v>3000</v>
      </c>
      <c r="H182" s="8">
        <v>6000</v>
      </c>
      <c r="I182" s="8">
        <v>2000</v>
      </c>
      <c r="J182" s="8">
        <v>1100</v>
      </c>
      <c r="K182" s="8">
        <v>7000</v>
      </c>
    </row>
    <row r="183" spans="1:14" x14ac:dyDescent="0.25">
      <c r="A183" s="8">
        <v>162</v>
      </c>
      <c r="B183" s="8">
        <v>15000</v>
      </c>
      <c r="C183" s="8">
        <f>20000/12</f>
        <v>1666.6666666666667</v>
      </c>
      <c r="D183" s="8">
        <v>0</v>
      </c>
      <c r="E183" s="8">
        <v>0</v>
      </c>
      <c r="F183" s="8">
        <v>6000</v>
      </c>
      <c r="G183" s="8">
        <v>2000</v>
      </c>
      <c r="H183" s="8">
        <v>1000</v>
      </c>
      <c r="I183" s="8">
        <v>1500</v>
      </c>
      <c r="J183" s="8">
        <v>600</v>
      </c>
      <c r="K183" s="8">
        <v>3000</v>
      </c>
    </row>
    <row r="184" spans="1:14" x14ac:dyDescent="0.25">
      <c r="A184" s="8">
        <v>158</v>
      </c>
      <c r="B184" s="8">
        <v>15000</v>
      </c>
      <c r="C184" s="8">
        <v>500</v>
      </c>
      <c r="D184" s="8">
        <v>0</v>
      </c>
      <c r="E184" s="8">
        <v>0</v>
      </c>
      <c r="F184" s="8">
        <v>6000</v>
      </c>
      <c r="G184" s="8">
        <v>12000</v>
      </c>
      <c r="H184" s="8">
        <v>1000</v>
      </c>
      <c r="I184" s="8">
        <v>500</v>
      </c>
      <c r="J184" s="8">
        <v>250</v>
      </c>
      <c r="K184" s="8">
        <v>1500</v>
      </c>
    </row>
    <row r="185" spans="1:14" x14ac:dyDescent="0.25">
      <c r="A185" s="8">
        <v>159</v>
      </c>
      <c r="B185" s="8">
        <v>15000</v>
      </c>
      <c r="C185" s="8">
        <v>4000</v>
      </c>
      <c r="D185" s="8">
        <v>0</v>
      </c>
      <c r="E185" s="8">
        <v>0</v>
      </c>
      <c r="F185" s="8">
        <v>5000</v>
      </c>
      <c r="G185" s="8">
        <v>3000</v>
      </c>
      <c r="H185" s="8">
        <v>2000</v>
      </c>
      <c r="I185" s="8">
        <v>800</v>
      </c>
      <c r="J185" s="8">
        <v>875</v>
      </c>
      <c r="K185" s="8">
        <v>2000</v>
      </c>
    </row>
    <row r="186" spans="1:14" x14ac:dyDescent="0.25">
      <c r="A186" s="8">
        <v>160</v>
      </c>
      <c r="B186" s="8">
        <v>30000</v>
      </c>
      <c r="C186" s="8">
        <f>10000/12</f>
        <v>833.33333333333337</v>
      </c>
      <c r="D186" s="8">
        <v>0</v>
      </c>
      <c r="E186" s="8">
        <v>0</v>
      </c>
      <c r="F186" s="8">
        <v>0</v>
      </c>
      <c r="G186" s="8">
        <v>500</v>
      </c>
      <c r="H186" s="8">
        <v>1000</v>
      </c>
      <c r="I186" s="8">
        <v>300</v>
      </c>
      <c r="J186" s="8">
        <v>900</v>
      </c>
      <c r="K186" s="8">
        <v>5000</v>
      </c>
    </row>
    <row r="187" spans="1:14" x14ac:dyDescent="0.25">
      <c r="A187" s="8">
        <v>161</v>
      </c>
      <c r="B187" s="8">
        <v>20000</v>
      </c>
      <c r="C187" s="8">
        <v>1000</v>
      </c>
      <c r="D187" s="8">
        <v>0</v>
      </c>
      <c r="E187" s="8">
        <v>0</v>
      </c>
      <c r="F187" s="8">
        <v>5000</v>
      </c>
      <c r="G187" s="8">
        <v>800</v>
      </c>
      <c r="H187" s="8">
        <v>1000</v>
      </c>
      <c r="I187" s="8">
        <v>2000</v>
      </c>
      <c r="J187" s="8">
        <v>750</v>
      </c>
      <c r="K187" s="8">
        <v>5000</v>
      </c>
    </row>
    <row r="188" spans="1:14" x14ac:dyDescent="0.25">
      <c r="A188" s="8">
        <v>215</v>
      </c>
      <c r="B188" s="8">
        <v>25000</v>
      </c>
      <c r="C188" s="8">
        <f>50000/12</f>
        <v>4166.666666666667</v>
      </c>
      <c r="D188" s="8">
        <v>0</v>
      </c>
      <c r="E188" s="8">
        <v>0</v>
      </c>
      <c r="F188" s="8">
        <v>60000</v>
      </c>
      <c r="G188" s="8">
        <v>0</v>
      </c>
      <c r="H188" s="8">
        <v>2000</v>
      </c>
      <c r="I188" s="8">
        <v>500</v>
      </c>
      <c r="J188" s="8">
        <v>1600</v>
      </c>
      <c r="K188" s="8">
        <v>5000</v>
      </c>
    </row>
    <row r="189" spans="1:14" x14ac:dyDescent="0.25">
      <c r="A189" s="8">
        <v>57</v>
      </c>
      <c r="B189" s="8">
        <v>15000</v>
      </c>
      <c r="C189" s="8">
        <f>15000/12</f>
        <v>1250</v>
      </c>
      <c r="D189" s="8">
        <v>0</v>
      </c>
      <c r="E189" s="8">
        <v>0</v>
      </c>
      <c r="F189" s="8">
        <v>3000</v>
      </c>
      <c r="G189" s="8">
        <v>3000</v>
      </c>
      <c r="H189" s="8">
        <v>2000</v>
      </c>
      <c r="I189" s="8">
        <v>100</v>
      </c>
      <c r="J189" s="8">
        <v>235</v>
      </c>
      <c r="K189" s="8">
        <v>3000</v>
      </c>
    </row>
    <row r="190" spans="1:14" x14ac:dyDescent="0.25">
      <c r="A190" s="9">
        <v>166</v>
      </c>
      <c r="B190" s="9">
        <v>30000</v>
      </c>
      <c r="C190" s="9">
        <f>30000/12</f>
        <v>2500</v>
      </c>
      <c r="D190" s="9">
        <v>0</v>
      </c>
      <c r="E190" s="9">
        <v>0</v>
      </c>
      <c r="F190" s="9">
        <v>15000</v>
      </c>
      <c r="G190" s="9">
        <v>5000</v>
      </c>
      <c r="H190" s="9">
        <v>2000</v>
      </c>
      <c r="I190" s="9">
        <v>4000</v>
      </c>
      <c r="J190" s="9">
        <v>800</v>
      </c>
      <c r="K190" s="9">
        <v>3000</v>
      </c>
    </row>
    <row r="191" spans="1:14" s="4" customFormat="1" x14ac:dyDescent="0.25">
      <c r="L191" s="3"/>
      <c r="M191" s="3"/>
      <c r="N191" s="3"/>
    </row>
    <row r="192" spans="1:14" x14ac:dyDescent="0.25">
      <c r="A192" s="10">
        <v>167</v>
      </c>
      <c r="B192" s="10">
        <v>10000</v>
      </c>
      <c r="C192" s="10">
        <f>20000/12</f>
        <v>1666.6666666666667</v>
      </c>
      <c r="D192" s="10">
        <v>0</v>
      </c>
      <c r="E192" s="10">
        <f>20000/6</f>
        <v>3333.3333333333335</v>
      </c>
      <c r="F192" s="10">
        <v>15000</v>
      </c>
      <c r="G192" s="10">
        <v>1500</v>
      </c>
      <c r="H192" s="10">
        <v>1000</v>
      </c>
      <c r="I192" s="10">
        <v>1000</v>
      </c>
      <c r="J192" s="10">
        <v>95</v>
      </c>
      <c r="K192" s="10">
        <v>4000</v>
      </c>
    </row>
    <row r="193" spans="1:14" x14ac:dyDescent="0.25">
      <c r="A193" s="8">
        <v>166</v>
      </c>
      <c r="B193" s="8">
        <v>15000</v>
      </c>
      <c r="C193" s="8">
        <f>10000/12</f>
        <v>833.33333333333337</v>
      </c>
      <c r="D193" s="8">
        <v>0</v>
      </c>
      <c r="E193" s="8">
        <v>0</v>
      </c>
      <c r="F193" s="8">
        <v>0</v>
      </c>
      <c r="G193" s="8">
        <v>500</v>
      </c>
      <c r="H193" s="8">
        <v>7000</v>
      </c>
      <c r="I193" s="8">
        <v>1000</v>
      </c>
      <c r="J193" s="8">
        <v>800</v>
      </c>
      <c r="K193" s="8">
        <v>4000</v>
      </c>
    </row>
    <row r="194" spans="1:14" x14ac:dyDescent="0.25">
      <c r="A194" s="8">
        <v>64</v>
      </c>
      <c r="B194" s="8">
        <v>10000</v>
      </c>
      <c r="C194" s="8">
        <f>10000/12</f>
        <v>833.33333333333337</v>
      </c>
      <c r="D194" s="8">
        <v>0</v>
      </c>
      <c r="E194" s="8">
        <v>0</v>
      </c>
      <c r="F194" s="8">
        <v>0</v>
      </c>
      <c r="G194" s="8">
        <v>1500</v>
      </c>
      <c r="H194" s="8">
        <v>1500</v>
      </c>
      <c r="I194" s="8">
        <v>200</v>
      </c>
      <c r="J194" s="8">
        <v>100</v>
      </c>
      <c r="K194" s="8">
        <v>5000</v>
      </c>
    </row>
    <row r="195" spans="1:14" x14ac:dyDescent="0.25">
      <c r="A195" s="8">
        <v>228</v>
      </c>
      <c r="B195" s="8">
        <v>4000</v>
      </c>
      <c r="C195" s="8">
        <f>10000/12</f>
        <v>833.33333333333337</v>
      </c>
      <c r="D195" s="8">
        <v>0</v>
      </c>
      <c r="E195" s="8">
        <v>2500</v>
      </c>
      <c r="F195" s="8">
        <v>0</v>
      </c>
      <c r="G195" s="8">
        <v>1000</v>
      </c>
      <c r="H195" s="8">
        <v>400</v>
      </c>
      <c r="I195" s="8">
        <v>500</v>
      </c>
      <c r="J195" s="8">
        <v>500</v>
      </c>
      <c r="K195" s="8">
        <v>1500</v>
      </c>
    </row>
    <row r="196" spans="1:14" x14ac:dyDescent="0.25">
      <c r="A196" s="8">
        <v>316</v>
      </c>
      <c r="B196" s="8">
        <v>20000</v>
      </c>
      <c r="C196" s="8">
        <f>30000/12</f>
        <v>2500</v>
      </c>
      <c r="D196" s="8">
        <v>0</v>
      </c>
      <c r="E196" s="8">
        <v>0</v>
      </c>
      <c r="F196" s="8">
        <v>0</v>
      </c>
      <c r="G196" s="8">
        <v>7000</v>
      </c>
      <c r="H196" s="8">
        <v>5000</v>
      </c>
      <c r="I196" s="8">
        <v>1000</v>
      </c>
      <c r="J196" s="8">
        <v>1000</v>
      </c>
      <c r="K196" s="8">
        <v>5000</v>
      </c>
    </row>
    <row r="197" spans="1:14" x14ac:dyDescent="0.25">
      <c r="A197" s="8">
        <v>268</v>
      </c>
      <c r="B197" s="8">
        <v>10000</v>
      </c>
      <c r="C197" s="8">
        <f>18000/12</f>
        <v>1500</v>
      </c>
      <c r="D197" s="8">
        <v>0</v>
      </c>
      <c r="E197" s="8">
        <v>0</v>
      </c>
      <c r="F197" s="8">
        <v>4000</v>
      </c>
      <c r="G197" s="8">
        <v>2000</v>
      </c>
      <c r="H197" s="8">
        <v>500</v>
      </c>
      <c r="I197" s="8">
        <v>300</v>
      </c>
      <c r="J197" s="8">
        <v>175</v>
      </c>
      <c r="K197" s="8">
        <v>2000</v>
      </c>
    </row>
    <row r="198" spans="1:14" x14ac:dyDescent="0.25">
      <c r="A198" s="8">
        <v>66</v>
      </c>
      <c r="B198" s="8">
        <v>15000</v>
      </c>
      <c r="C198" s="8">
        <f>15000/12</f>
        <v>1250</v>
      </c>
      <c r="D198" s="8">
        <v>0</v>
      </c>
      <c r="E198" s="8">
        <v>0</v>
      </c>
      <c r="F198" s="8">
        <v>0</v>
      </c>
      <c r="G198" s="8">
        <v>1000</v>
      </c>
      <c r="H198" s="8">
        <v>2000</v>
      </c>
      <c r="I198" s="8">
        <v>500</v>
      </c>
      <c r="J198" s="8">
        <v>92</v>
      </c>
      <c r="K198" s="8">
        <v>6000</v>
      </c>
    </row>
    <row r="199" spans="1:14" x14ac:dyDescent="0.25">
      <c r="A199" s="8">
        <v>68</v>
      </c>
      <c r="B199" s="8">
        <v>8000</v>
      </c>
      <c r="C199" s="8">
        <v>5000</v>
      </c>
      <c r="D199" s="8">
        <v>0</v>
      </c>
      <c r="E199" s="8">
        <v>0</v>
      </c>
      <c r="F199" s="8">
        <v>0</v>
      </c>
      <c r="G199" s="8">
        <v>3000</v>
      </c>
      <c r="H199" s="8">
        <v>3000</v>
      </c>
      <c r="I199" s="8">
        <v>300</v>
      </c>
      <c r="J199" s="8">
        <v>150</v>
      </c>
      <c r="K199" s="8">
        <v>2000</v>
      </c>
    </row>
    <row r="200" spans="1:14" x14ac:dyDescent="0.25">
      <c r="A200" s="8">
        <v>67</v>
      </c>
      <c r="B200" s="8">
        <v>25000</v>
      </c>
      <c r="C200" s="8">
        <f>25000/12</f>
        <v>2083.3333333333335</v>
      </c>
      <c r="D200" s="8">
        <v>0</v>
      </c>
      <c r="E200" s="8">
        <v>0</v>
      </c>
      <c r="F200" s="8">
        <v>10000</v>
      </c>
      <c r="G200" s="8">
        <v>5000</v>
      </c>
      <c r="H200" s="8">
        <v>6000</v>
      </c>
      <c r="I200" s="8">
        <v>1000</v>
      </c>
      <c r="J200" s="8">
        <v>2000</v>
      </c>
      <c r="K200" s="8">
        <v>8000</v>
      </c>
    </row>
    <row r="201" spans="1:14" x14ac:dyDescent="0.25">
      <c r="A201" s="8">
        <v>168</v>
      </c>
      <c r="B201" s="8">
        <v>15000</v>
      </c>
      <c r="C201" s="8">
        <v>5000</v>
      </c>
      <c r="D201" s="8">
        <v>0</v>
      </c>
      <c r="E201" s="8">
        <v>4000</v>
      </c>
      <c r="F201" s="8">
        <v>2000</v>
      </c>
      <c r="G201" s="8">
        <v>6000</v>
      </c>
      <c r="H201" s="8">
        <v>4000</v>
      </c>
      <c r="I201" s="8">
        <v>400</v>
      </c>
      <c r="J201" s="8">
        <v>500</v>
      </c>
      <c r="K201" s="8">
        <v>2000</v>
      </c>
    </row>
    <row r="202" spans="1:14" x14ac:dyDescent="0.25">
      <c r="A202" s="9">
        <v>179</v>
      </c>
      <c r="B202" s="9">
        <v>10000</v>
      </c>
      <c r="C202" s="9">
        <f>15000/12</f>
        <v>1250</v>
      </c>
      <c r="D202" s="9">
        <v>0</v>
      </c>
      <c r="E202" s="9">
        <v>0</v>
      </c>
      <c r="F202" s="9">
        <v>0</v>
      </c>
      <c r="G202" s="9">
        <v>5000</v>
      </c>
      <c r="H202" s="9">
        <v>4000</v>
      </c>
      <c r="I202" s="9">
        <v>1000</v>
      </c>
      <c r="J202" s="9">
        <v>250</v>
      </c>
      <c r="K202" s="9">
        <v>5000</v>
      </c>
    </row>
    <row r="203" spans="1:14" s="4" customFormat="1" x14ac:dyDescent="0.25">
      <c r="L203" s="3"/>
      <c r="M203" s="3"/>
      <c r="N203" s="3"/>
    </row>
    <row r="204" spans="1:14" x14ac:dyDescent="0.25">
      <c r="A204" s="10">
        <v>72</v>
      </c>
      <c r="B204" s="10">
        <v>20000</v>
      </c>
      <c r="C204" s="10">
        <f>20000/12</f>
        <v>1666.6666666666667</v>
      </c>
      <c r="D204" s="10">
        <v>0</v>
      </c>
      <c r="E204" s="10">
        <v>0</v>
      </c>
      <c r="F204" s="10">
        <v>10000</v>
      </c>
      <c r="G204" s="10">
        <v>3000</v>
      </c>
      <c r="H204" s="10">
        <v>4000</v>
      </c>
      <c r="I204" s="10">
        <v>200</v>
      </c>
      <c r="J204" s="10">
        <v>595</v>
      </c>
      <c r="K204" s="10">
        <v>7000</v>
      </c>
    </row>
    <row r="205" spans="1:14" x14ac:dyDescent="0.25">
      <c r="A205" s="8">
        <v>74</v>
      </c>
      <c r="B205" s="8">
        <v>3000</v>
      </c>
      <c r="C205" s="8">
        <v>2000</v>
      </c>
      <c r="D205" s="8">
        <v>0</v>
      </c>
      <c r="E205" s="8">
        <v>0</v>
      </c>
      <c r="F205" s="8">
        <v>0</v>
      </c>
      <c r="G205" s="8">
        <v>500</v>
      </c>
      <c r="H205" s="8">
        <v>500</v>
      </c>
      <c r="I205" s="8">
        <v>100</v>
      </c>
      <c r="J205" s="8">
        <v>185</v>
      </c>
      <c r="K205" s="8">
        <v>1000</v>
      </c>
    </row>
    <row r="206" spans="1:14" x14ac:dyDescent="0.25">
      <c r="A206" s="8">
        <v>176</v>
      </c>
      <c r="B206" s="8">
        <v>20000</v>
      </c>
      <c r="C206" s="8">
        <f>20000/12</f>
        <v>1666.6666666666667</v>
      </c>
      <c r="D206" s="8">
        <v>0</v>
      </c>
      <c r="E206" s="8">
        <v>0</v>
      </c>
      <c r="F206" s="8">
        <v>0</v>
      </c>
      <c r="G206" s="8">
        <v>2000</v>
      </c>
      <c r="H206" s="8">
        <v>2000</v>
      </c>
      <c r="I206" s="8">
        <v>1000</v>
      </c>
      <c r="J206" s="8">
        <v>6400</v>
      </c>
      <c r="K206" s="8">
        <v>3000</v>
      </c>
    </row>
    <row r="207" spans="1:14" x14ac:dyDescent="0.25">
      <c r="A207" s="8">
        <v>175</v>
      </c>
      <c r="B207" s="8">
        <v>10000</v>
      </c>
      <c r="C207" s="8">
        <f>20000/12</f>
        <v>1666.6666666666667</v>
      </c>
      <c r="D207" s="8">
        <v>0</v>
      </c>
      <c r="E207" s="8">
        <v>3000</v>
      </c>
      <c r="F207" s="8">
        <v>15000</v>
      </c>
      <c r="G207" s="8">
        <v>5000</v>
      </c>
      <c r="H207" s="8">
        <v>1500</v>
      </c>
      <c r="I207" s="8">
        <v>250</v>
      </c>
      <c r="J207" s="8">
        <v>800</v>
      </c>
      <c r="K207" s="8">
        <v>1000</v>
      </c>
    </row>
    <row r="208" spans="1:14" x14ac:dyDescent="0.25">
      <c r="A208" s="8">
        <v>174</v>
      </c>
      <c r="B208" s="8">
        <v>10000</v>
      </c>
      <c r="C208" s="8">
        <f>20000/12</f>
        <v>1666.6666666666667</v>
      </c>
      <c r="D208" s="8">
        <v>0</v>
      </c>
      <c r="E208" s="8">
        <v>0</v>
      </c>
      <c r="F208" s="8">
        <v>0</v>
      </c>
      <c r="G208" s="8">
        <v>1500</v>
      </c>
      <c r="H208" s="8">
        <v>500</v>
      </c>
      <c r="I208" s="8">
        <v>400</v>
      </c>
      <c r="J208" s="8">
        <v>380</v>
      </c>
      <c r="K208" s="8">
        <v>500</v>
      </c>
    </row>
    <row r="209" spans="1:14" x14ac:dyDescent="0.25">
      <c r="A209" s="8">
        <v>173</v>
      </c>
      <c r="B209" s="8">
        <v>12000</v>
      </c>
      <c r="C209" s="8">
        <f>20000/12</f>
        <v>1666.6666666666667</v>
      </c>
      <c r="D209" s="8">
        <v>0</v>
      </c>
      <c r="E209" s="8">
        <v>0</v>
      </c>
      <c r="F209" s="8">
        <v>0</v>
      </c>
      <c r="G209" s="8">
        <v>4000</v>
      </c>
      <c r="H209" s="8">
        <v>2000</v>
      </c>
      <c r="I209" s="8">
        <v>1000</v>
      </c>
      <c r="J209" s="8">
        <v>1450</v>
      </c>
      <c r="K209" s="8">
        <v>5000</v>
      </c>
    </row>
    <row r="210" spans="1:14" x14ac:dyDescent="0.25">
      <c r="A210" s="8">
        <v>172</v>
      </c>
      <c r="B210" s="8">
        <v>18000</v>
      </c>
      <c r="C210" s="8">
        <v>1000</v>
      </c>
      <c r="D210" s="8">
        <v>0</v>
      </c>
      <c r="E210" s="8">
        <v>0</v>
      </c>
      <c r="F210" s="8">
        <v>0</v>
      </c>
      <c r="G210" s="8">
        <v>4000</v>
      </c>
      <c r="H210" s="8">
        <v>1800</v>
      </c>
      <c r="I210" s="8">
        <v>1200</v>
      </c>
      <c r="J210" s="8">
        <v>800</v>
      </c>
      <c r="K210" s="8">
        <v>4000</v>
      </c>
    </row>
    <row r="211" spans="1:14" x14ac:dyDescent="0.25">
      <c r="A211" s="8">
        <v>171</v>
      </c>
      <c r="B211" s="8">
        <v>5000</v>
      </c>
      <c r="C211" s="8">
        <f>10000/12</f>
        <v>833.33333333333337</v>
      </c>
      <c r="D211" s="8">
        <v>0</v>
      </c>
      <c r="E211" s="8">
        <v>0</v>
      </c>
      <c r="F211" s="8">
        <v>0</v>
      </c>
      <c r="G211" s="8">
        <v>20000</v>
      </c>
      <c r="H211" s="8">
        <v>12000</v>
      </c>
      <c r="I211" s="8">
        <v>500</v>
      </c>
      <c r="J211" s="8">
        <v>900</v>
      </c>
      <c r="K211" s="8">
        <v>10000</v>
      </c>
    </row>
    <row r="212" spans="1:14" x14ac:dyDescent="0.25">
      <c r="A212" s="8">
        <v>71</v>
      </c>
      <c r="B212" s="8">
        <v>10000</v>
      </c>
      <c r="C212" s="8">
        <f>10000/12</f>
        <v>833.33333333333337</v>
      </c>
      <c r="D212" s="8">
        <v>0</v>
      </c>
      <c r="E212" s="8">
        <v>0</v>
      </c>
      <c r="F212" s="8">
        <v>10000</v>
      </c>
      <c r="G212" s="8">
        <v>6000</v>
      </c>
      <c r="H212" s="8">
        <v>3000</v>
      </c>
      <c r="I212" s="8">
        <v>500</v>
      </c>
      <c r="J212" s="8">
        <v>350</v>
      </c>
      <c r="K212" s="8">
        <v>4000</v>
      </c>
    </row>
    <row r="213" spans="1:14" x14ac:dyDescent="0.25">
      <c r="A213" s="8">
        <v>70</v>
      </c>
      <c r="B213" s="8">
        <v>25000</v>
      </c>
      <c r="C213" s="8">
        <v>4000</v>
      </c>
      <c r="D213" s="8">
        <v>0</v>
      </c>
      <c r="E213" s="8">
        <v>0</v>
      </c>
      <c r="F213" s="8">
        <v>0</v>
      </c>
      <c r="G213" s="8">
        <v>3000</v>
      </c>
      <c r="H213" s="8">
        <v>1500</v>
      </c>
      <c r="I213" s="8">
        <v>200</v>
      </c>
      <c r="J213" s="8">
        <v>765</v>
      </c>
      <c r="K213" s="8">
        <v>4000</v>
      </c>
    </row>
    <row r="214" spans="1:14" x14ac:dyDescent="0.25">
      <c r="A214" s="8">
        <v>69</v>
      </c>
      <c r="B214" s="8">
        <v>10000</v>
      </c>
      <c r="C214" s="8">
        <f>10000/12</f>
        <v>833.33333333333337</v>
      </c>
      <c r="D214" s="8">
        <v>0</v>
      </c>
      <c r="E214" s="8">
        <v>0</v>
      </c>
      <c r="F214" s="8">
        <v>10000</v>
      </c>
      <c r="G214" s="8">
        <v>2000</v>
      </c>
      <c r="H214" s="8">
        <v>2000</v>
      </c>
      <c r="I214" s="8">
        <v>1000</v>
      </c>
      <c r="J214" s="8">
        <v>700</v>
      </c>
      <c r="K214" s="8">
        <v>5000</v>
      </c>
    </row>
    <row r="215" spans="1:14" x14ac:dyDescent="0.25">
      <c r="A215" s="8">
        <v>177</v>
      </c>
      <c r="B215" s="8">
        <v>15000</v>
      </c>
      <c r="C215" s="8">
        <f>20000/12</f>
        <v>1666.6666666666667</v>
      </c>
      <c r="D215" s="8">
        <v>0</v>
      </c>
      <c r="E215" s="8">
        <v>1791.67</v>
      </c>
      <c r="F215" s="8">
        <v>5000</v>
      </c>
      <c r="G215" s="8">
        <v>4000</v>
      </c>
      <c r="H215" s="8">
        <v>5000</v>
      </c>
      <c r="I215" s="8">
        <v>3000</v>
      </c>
      <c r="J215" s="8">
        <v>500</v>
      </c>
      <c r="K215" s="8">
        <v>3000</v>
      </c>
    </row>
    <row r="216" spans="1:14" x14ac:dyDescent="0.25">
      <c r="A216" s="8">
        <v>75</v>
      </c>
      <c r="B216" s="8">
        <v>20000</v>
      </c>
      <c r="C216" s="8">
        <f>10000/12</f>
        <v>833.33333333333337</v>
      </c>
      <c r="D216" s="8">
        <v>0</v>
      </c>
      <c r="E216" s="8">
        <v>0</v>
      </c>
      <c r="F216" s="8">
        <v>2000</v>
      </c>
      <c r="G216" s="8">
        <v>1000</v>
      </c>
      <c r="H216" s="8">
        <v>500</v>
      </c>
      <c r="I216" s="8">
        <v>500</v>
      </c>
      <c r="J216" s="8">
        <v>500</v>
      </c>
      <c r="K216" s="8">
        <v>2500</v>
      </c>
    </row>
    <row r="217" spans="1:14" x14ac:dyDescent="0.25">
      <c r="A217" s="9">
        <v>73</v>
      </c>
      <c r="B217" s="9">
        <v>10000</v>
      </c>
      <c r="C217" s="9">
        <f>20000/12</f>
        <v>1666.6666666666667</v>
      </c>
      <c r="D217" s="9">
        <v>0</v>
      </c>
      <c r="E217" s="9">
        <v>0</v>
      </c>
      <c r="F217" s="9">
        <v>10000</v>
      </c>
      <c r="G217" s="9">
        <v>8000</v>
      </c>
      <c r="H217" s="9">
        <v>6000</v>
      </c>
      <c r="I217" s="9">
        <v>1000</v>
      </c>
      <c r="J217" s="9">
        <v>350</v>
      </c>
      <c r="K217" s="9">
        <v>5000</v>
      </c>
    </row>
    <row r="218" spans="1:14" s="4" customFormat="1" x14ac:dyDescent="0.25">
      <c r="L218" s="3"/>
      <c r="M218" s="3"/>
      <c r="N218" s="3"/>
    </row>
    <row r="219" spans="1:14" x14ac:dyDescent="0.25">
      <c r="A219" s="10">
        <v>216</v>
      </c>
      <c r="B219" s="10">
        <v>8000</v>
      </c>
      <c r="C219" s="10">
        <f>30000/12</f>
        <v>2500</v>
      </c>
      <c r="D219" s="10">
        <v>0</v>
      </c>
      <c r="E219" s="10">
        <v>666</v>
      </c>
      <c r="F219" s="10">
        <v>5000</v>
      </c>
      <c r="G219" s="10">
        <v>3000</v>
      </c>
      <c r="H219" s="10">
        <v>2000</v>
      </c>
      <c r="I219" s="10">
        <v>1000</v>
      </c>
      <c r="J219" s="10">
        <v>900</v>
      </c>
      <c r="K219" s="10">
        <v>2000</v>
      </c>
    </row>
    <row r="220" spans="1:14" x14ac:dyDescent="0.25">
      <c r="A220" s="8">
        <v>217</v>
      </c>
      <c r="B220" s="8">
        <v>5000</v>
      </c>
      <c r="C220" s="8">
        <f>12000/12</f>
        <v>1000</v>
      </c>
      <c r="D220" s="8">
        <v>0</v>
      </c>
      <c r="E220" s="8">
        <v>800</v>
      </c>
      <c r="F220" s="8">
        <v>0</v>
      </c>
      <c r="G220" s="8">
        <v>1000</v>
      </c>
      <c r="H220" s="8">
        <v>3000</v>
      </c>
      <c r="I220" s="8">
        <v>400</v>
      </c>
      <c r="J220" s="8">
        <v>1200</v>
      </c>
      <c r="K220" s="8">
        <v>4000</v>
      </c>
    </row>
    <row r="221" spans="1:14" x14ac:dyDescent="0.25">
      <c r="A221" s="8">
        <v>218</v>
      </c>
      <c r="B221" s="8">
        <v>20000</v>
      </c>
      <c r="C221" s="8">
        <f>15000/12</f>
        <v>1250</v>
      </c>
      <c r="D221" s="8">
        <v>0</v>
      </c>
      <c r="E221" s="8">
        <v>3000</v>
      </c>
      <c r="F221" s="8">
        <v>3000</v>
      </c>
      <c r="G221" s="8">
        <v>1000</v>
      </c>
      <c r="H221" s="8">
        <v>1500</v>
      </c>
      <c r="I221" s="8">
        <v>500</v>
      </c>
      <c r="J221" s="8">
        <v>600</v>
      </c>
      <c r="K221" s="8">
        <v>2500</v>
      </c>
    </row>
    <row r="222" spans="1:14" x14ac:dyDescent="0.25">
      <c r="A222" s="8">
        <v>81</v>
      </c>
      <c r="B222" s="8">
        <v>20000</v>
      </c>
      <c r="C222" s="8">
        <v>20000</v>
      </c>
      <c r="D222" s="8">
        <v>0</v>
      </c>
      <c r="E222" s="8">
        <f>40000/6</f>
        <v>6666.666666666667</v>
      </c>
      <c r="F222" s="8">
        <v>5000</v>
      </c>
      <c r="G222" s="8">
        <v>3000</v>
      </c>
      <c r="H222" s="8">
        <v>2000</v>
      </c>
      <c r="I222" s="8">
        <v>500</v>
      </c>
      <c r="J222" s="8">
        <v>500</v>
      </c>
      <c r="K222" s="8">
        <v>5000</v>
      </c>
    </row>
    <row r="223" spans="1:14" x14ac:dyDescent="0.25">
      <c r="A223" s="8">
        <v>82</v>
      </c>
      <c r="B223" s="8">
        <v>15000</v>
      </c>
      <c r="C223" s="8">
        <v>15000</v>
      </c>
      <c r="D223" s="8">
        <v>0</v>
      </c>
      <c r="E223" s="8">
        <v>0</v>
      </c>
      <c r="F223" s="8">
        <v>0</v>
      </c>
      <c r="G223" s="8">
        <v>10000</v>
      </c>
      <c r="H223" s="8">
        <v>2000</v>
      </c>
      <c r="I223" s="8">
        <v>400</v>
      </c>
      <c r="J223" s="8">
        <v>400</v>
      </c>
      <c r="K223" s="8">
        <v>3000</v>
      </c>
    </row>
    <row r="224" spans="1:14" x14ac:dyDescent="0.25">
      <c r="A224" s="8">
        <v>83</v>
      </c>
      <c r="B224" s="8">
        <v>10000</v>
      </c>
      <c r="C224" s="8">
        <v>5000</v>
      </c>
      <c r="D224" s="8">
        <v>0</v>
      </c>
      <c r="E224" s="8">
        <v>0</v>
      </c>
      <c r="F224" s="8">
        <v>0</v>
      </c>
      <c r="G224" s="8">
        <v>6000</v>
      </c>
      <c r="H224" s="8">
        <v>2000</v>
      </c>
      <c r="I224" s="8">
        <v>800</v>
      </c>
      <c r="J224" s="8">
        <v>500</v>
      </c>
      <c r="K224" s="8">
        <v>2000</v>
      </c>
    </row>
    <row r="225" spans="1:11" x14ac:dyDescent="0.25">
      <c r="A225" s="8">
        <v>84</v>
      </c>
      <c r="B225" s="8">
        <v>20000</v>
      </c>
      <c r="C225" s="8">
        <v>30000</v>
      </c>
      <c r="D225" s="8">
        <v>0</v>
      </c>
      <c r="E225" s="8">
        <v>4300</v>
      </c>
      <c r="F225" s="8">
        <v>5000</v>
      </c>
      <c r="G225" s="8">
        <v>3000</v>
      </c>
      <c r="H225" s="8">
        <v>4000</v>
      </c>
      <c r="I225" s="8">
        <v>200</v>
      </c>
      <c r="J225" s="8">
        <v>900</v>
      </c>
      <c r="K225" s="8">
        <v>5000</v>
      </c>
    </row>
    <row r="226" spans="1:11" x14ac:dyDescent="0.25">
      <c r="A226" s="8">
        <v>85</v>
      </c>
      <c r="B226" s="8">
        <v>25000</v>
      </c>
      <c r="C226" s="8">
        <v>25000</v>
      </c>
      <c r="D226" s="8">
        <v>0</v>
      </c>
      <c r="E226" s="8">
        <v>0</v>
      </c>
      <c r="F226" s="8">
        <v>0</v>
      </c>
      <c r="G226" s="8">
        <v>5000</v>
      </c>
      <c r="H226" s="8">
        <v>5000</v>
      </c>
      <c r="I226" s="8">
        <v>500</v>
      </c>
      <c r="J226" s="8">
        <v>1500</v>
      </c>
      <c r="K226" s="8">
        <v>5000</v>
      </c>
    </row>
    <row r="227" spans="1:11" x14ac:dyDescent="0.25">
      <c r="A227" s="8">
        <v>86</v>
      </c>
      <c r="B227" s="8">
        <v>15000</v>
      </c>
      <c r="C227" s="8">
        <v>15000</v>
      </c>
      <c r="D227" s="8">
        <v>0</v>
      </c>
      <c r="E227" s="8">
        <v>0</v>
      </c>
      <c r="F227" s="8">
        <v>0</v>
      </c>
      <c r="G227" s="8">
        <v>1000</v>
      </c>
      <c r="H227" s="8">
        <v>200</v>
      </c>
      <c r="I227" s="8">
        <v>200</v>
      </c>
      <c r="J227" s="8">
        <v>400</v>
      </c>
      <c r="K227" s="8">
        <v>1000</v>
      </c>
    </row>
    <row r="228" spans="1:11" x14ac:dyDescent="0.25">
      <c r="A228" s="8">
        <v>87</v>
      </c>
      <c r="B228" s="8">
        <v>10000</v>
      </c>
      <c r="C228" s="8">
        <f>10000/12</f>
        <v>833.33333333333337</v>
      </c>
      <c r="D228" s="8">
        <v>0</v>
      </c>
      <c r="E228" s="8">
        <v>0</v>
      </c>
      <c r="F228" s="8">
        <v>0</v>
      </c>
      <c r="G228" s="8">
        <v>2000</v>
      </c>
      <c r="H228" s="8">
        <v>1000</v>
      </c>
      <c r="I228" s="8">
        <v>1000</v>
      </c>
      <c r="J228" s="8">
        <v>400</v>
      </c>
      <c r="K228" s="8">
        <v>2000</v>
      </c>
    </row>
    <row r="229" spans="1:11" x14ac:dyDescent="0.25">
      <c r="A229" s="8">
        <v>88</v>
      </c>
      <c r="B229" s="8">
        <v>30000</v>
      </c>
      <c r="C229" s="8">
        <f>30000/12</f>
        <v>2500</v>
      </c>
      <c r="D229" s="8">
        <v>0</v>
      </c>
      <c r="E229" s="8">
        <v>0</v>
      </c>
      <c r="F229" s="8">
        <v>10000</v>
      </c>
      <c r="G229" s="8">
        <v>5000</v>
      </c>
      <c r="H229" s="8">
        <v>3000</v>
      </c>
      <c r="I229" s="8">
        <v>1000</v>
      </c>
      <c r="J229" s="8">
        <v>500</v>
      </c>
      <c r="K229" s="8">
        <v>5000</v>
      </c>
    </row>
    <row r="230" spans="1:11" x14ac:dyDescent="0.25">
      <c r="A230" s="8">
        <v>89</v>
      </c>
      <c r="B230" s="8">
        <v>6000</v>
      </c>
      <c r="C230" s="8">
        <v>15000</v>
      </c>
      <c r="D230" s="8">
        <v>0</v>
      </c>
      <c r="E230" s="8">
        <v>0</v>
      </c>
      <c r="F230" s="8">
        <v>0</v>
      </c>
      <c r="G230" s="8">
        <v>1000</v>
      </c>
      <c r="H230" s="8">
        <v>500</v>
      </c>
      <c r="I230" s="8">
        <v>150</v>
      </c>
      <c r="J230" s="8">
        <v>700</v>
      </c>
      <c r="K230" s="8">
        <v>2500</v>
      </c>
    </row>
    <row r="231" spans="1:11" x14ac:dyDescent="0.25">
      <c r="A231" s="8">
        <v>90</v>
      </c>
      <c r="B231" s="8">
        <v>15000</v>
      </c>
      <c r="C231" s="8">
        <f>15000/12</f>
        <v>1250</v>
      </c>
      <c r="D231" s="8">
        <v>0</v>
      </c>
      <c r="E231" s="8">
        <v>0</v>
      </c>
      <c r="F231" s="8">
        <v>8000</v>
      </c>
      <c r="G231" s="8">
        <v>1000</v>
      </c>
      <c r="H231" s="8">
        <v>1000</v>
      </c>
      <c r="I231" s="8">
        <v>500</v>
      </c>
      <c r="J231" s="8">
        <v>900</v>
      </c>
      <c r="K231" s="8">
        <v>5000</v>
      </c>
    </row>
    <row r="232" spans="1:11" x14ac:dyDescent="0.25">
      <c r="A232" s="8">
        <v>91</v>
      </c>
      <c r="B232" s="8">
        <v>3000</v>
      </c>
      <c r="C232" s="8">
        <v>5000</v>
      </c>
      <c r="D232" s="8">
        <v>0</v>
      </c>
      <c r="E232" s="8">
        <v>0</v>
      </c>
      <c r="F232" s="8">
        <v>0</v>
      </c>
      <c r="G232" s="8">
        <v>4000</v>
      </c>
      <c r="H232" s="8">
        <v>1500</v>
      </c>
      <c r="I232" s="8">
        <v>100</v>
      </c>
      <c r="J232" s="8">
        <v>500</v>
      </c>
      <c r="K232" s="8">
        <v>3000</v>
      </c>
    </row>
    <row r="233" spans="1:11" x14ac:dyDescent="0.25">
      <c r="A233" s="8">
        <v>92</v>
      </c>
      <c r="B233" s="8">
        <v>5000</v>
      </c>
      <c r="C233" s="8">
        <v>1000</v>
      </c>
      <c r="D233" s="8">
        <v>0</v>
      </c>
      <c r="E233" s="8">
        <v>1650</v>
      </c>
      <c r="F233" s="8">
        <v>8000</v>
      </c>
      <c r="G233" s="8">
        <v>10000</v>
      </c>
      <c r="H233" s="8">
        <v>3000</v>
      </c>
      <c r="I233" s="8">
        <v>300</v>
      </c>
      <c r="J233" s="8">
        <v>1000</v>
      </c>
      <c r="K233" s="8">
        <v>7000</v>
      </c>
    </row>
    <row r="234" spans="1:11" x14ac:dyDescent="0.25">
      <c r="A234" s="8">
        <v>93</v>
      </c>
      <c r="B234" s="8">
        <v>15000</v>
      </c>
      <c r="C234" s="8">
        <f>15000/12</f>
        <v>1250</v>
      </c>
      <c r="D234" s="8">
        <v>0</v>
      </c>
      <c r="E234" s="8">
        <v>0</v>
      </c>
      <c r="F234" s="8">
        <v>0</v>
      </c>
      <c r="G234" s="8">
        <v>7000</v>
      </c>
      <c r="H234" s="8">
        <v>3000</v>
      </c>
      <c r="I234" s="8">
        <v>300</v>
      </c>
      <c r="J234" s="8">
        <v>275</v>
      </c>
      <c r="K234" s="8">
        <v>5500</v>
      </c>
    </row>
    <row r="235" spans="1:11" x14ac:dyDescent="0.25">
      <c r="A235" s="8">
        <v>94</v>
      </c>
      <c r="B235" s="8">
        <v>10000</v>
      </c>
      <c r="C235" s="8">
        <v>1250</v>
      </c>
      <c r="D235" s="8">
        <v>0</v>
      </c>
      <c r="E235" s="8">
        <v>0</v>
      </c>
      <c r="F235" s="8">
        <v>10000</v>
      </c>
      <c r="G235" s="8">
        <v>1000</v>
      </c>
      <c r="H235" s="8">
        <v>1500</v>
      </c>
      <c r="I235" s="8">
        <v>200</v>
      </c>
      <c r="J235" s="8">
        <v>110</v>
      </c>
      <c r="K235" s="8">
        <v>4000</v>
      </c>
    </row>
    <row r="236" spans="1:11" x14ac:dyDescent="0.25">
      <c r="A236" s="8">
        <v>95</v>
      </c>
      <c r="B236" s="8">
        <v>15000</v>
      </c>
      <c r="C236" s="8">
        <f>20000/12</f>
        <v>1666.6666666666667</v>
      </c>
      <c r="D236" s="8">
        <v>0</v>
      </c>
      <c r="E236" s="8">
        <v>23000</v>
      </c>
      <c r="F236" s="8">
        <v>0</v>
      </c>
      <c r="G236" s="8">
        <v>1500</v>
      </c>
      <c r="H236" s="8">
        <v>6000</v>
      </c>
      <c r="I236" s="8">
        <v>1500</v>
      </c>
      <c r="J236" s="8">
        <v>1400</v>
      </c>
      <c r="K236" s="8">
        <v>1000</v>
      </c>
    </row>
    <row r="237" spans="1:11" x14ac:dyDescent="0.25">
      <c r="A237" s="8">
        <v>184</v>
      </c>
      <c r="B237" s="8">
        <v>10000</v>
      </c>
      <c r="C237" s="8">
        <v>1500</v>
      </c>
      <c r="D237" s="8">
        <v>0</v>
      </c>
      <c r="E237" s="8">
        <v>0</v>
      </c>
      <c r="F237" s="8">
        <v>0</v>
      </c>
      <c r="G237" s="8">
        <v>3000</v>
      </c>
      <c r="H237" s="8">
        <v>500</v>
      </c>
      <c r="I237" s="8">
        <v>50</v>
      </c>
      <c r="J237" s="8">
        <v>375</v>
      </c>
      <c r="K237" s="8">
        <v>3000</v>
      </c>
    </row>
    <row r="238" spans="1:11" x14ac:dyDescent="0.25">
      <c r="A238" s="8">
        <v>185</v>
      </c>
      <c r="B238" s="8">
        <v>10000</v>
      </c>
      <c r="C238" s="8">
        <v>1000</v>
      </c>
      <c r="D238" s="8">
        <v>0</v>
      </c>
      <c r="E238" s="8">
        <v>0</v>
      </c>
      <c r="F238" s="8">
        <v>3000</v>
      </c>
      <c r="G238" s="8">
        <v>1000</v>
      </c>
      <c r="H238" s="8">
        <v>1000</v>
      </c>
      <c r="I238" s="8">
        <v>500</v>
      </c>
      <c r="J238" s="8">
        <v>550</v>
      </c>
      <c r="K238" s="8">
        <v>1500</v>
      </c>
    </row>
    <row r="239" spans="1:11" x14ac:dyDescent="0.25">
      <c r="A239" s="8">
        <v>186</v>
      </c>
      <c r="B239" s="8">
        <v>10000</v>
      </c>
      <c r="C239" s="8">
        <f t="shared" ref="C239:C244" si="0">20000/12</f>
        <v>1666.6666666666667</v>
      </c>
      <c r="D239" s="8">
        <v>0</v>
      </c>
      <c r="E239" s="8">
        <v>0</v>
      </c>
      <c r="F239" s="8">
        <v>0</v>
      </c>
      <c r="G239" s="8">
        <v>15000</v>
      </c>
      <c r="H239" s="8">
        <v>2000</v>
      </c>
      <c r="I239" s="8">
        <v>1500</v>
      </c>
      <c r="J239" s="8">
        <v>1100</v>
      </c>
      <c r="K239" s="8">
        <v>6000</v>
      </c>
    </row>
    <row r="240" spans="1:11" x14ac:dyDescent="0.25">
      <c r="A240" s="8">
        <v>187</v>
      </c>
      <c r="B240" s="8">
        <v>15000</v>
      </c>
      <c r="C240" s="8">
        <f t="shared" si="0"/>
        <v>1666.6666666666667</v>
      </c>
      <c r="D240" s="8">
        <v>0</v>
      </c>
      <c r="E240" s="8">
        <v>0</v>
      </c>
      <c r="F240" s="8">
        <v>3000</v>
      </c>
      <c r="G240" s="8">
        <v>5000</v>
      </c>
      <c r="H240" s="8">
        <v>3000</v>
      </c>
      <c r="I240" s="8">
        <v>250</v>
      </c>
      <c r="J240" s="8">
        <f>275+350</f>
        <v>625</v>
      </c>
      <c r="K240" s="8">
        <v>5000</v>
      </c>
    </row>
    <row r="241" spans="1:14" x14ac:dyDescent="0.25">
      <c r="A241" s="8">
        <v>188</v>
      </c>
      <c r="B241" s="8">
        <v>10000</v>
      </c>
      <c r="C241" s="8">
        <f t="shared" si="0"/>
        <v>1666.6666666666667</v>
      </c>
      <c r="D241" s="8">
        <v>0</v>
      </c>
      <c r="E241" s="8">
        <v>2600</v>
      </c>
      <c r="F241" s="8">
        <v>8000</v>
      </c>
      <c r="G241" s="8">
        <v>3000</v>
      </c>
      <c r="H241" s="8">
        <v>1000</v>
      </c>
      <c r="I241" s="8">
        <v>200</v>
      </c>
      <c r="J241" s="8">
        <v>860</v>
      </c>
      <c r="K241" s="8">
        <v>4000</v>
      </c>
    </row>
    <row r="242" spans="1:14" x14ac:dyDescent="0.25">
      <c r="A242" s="8">
        <v>189</v>
      </c>
      <c r="B242" s="8">
        <v>20000</v>
      </c>
      <c r="C242" s="8">
        <f t="shared" si="0"/>
        <v>1666.6666666666667</v>
      </c>
      <c r="D242" s="8">
        <v>0</v>
      </c>
      <c r="E242" s="8">
        <v>0</v>
      </c>
      <c r="F242" s="8">
        <v>10000</v>
      </c>
      <c r="G242" s="8">
        <v>4000</v>
      </c>
      <c r="H242" s="8">
        <v>2500</v>
      </c>
      <c r="I242" s="8">
        <v>1500</v>
      </c>
      <c r="J242" s="8">
        <v>1000</v>
      </c>
      <c r="K242" s="8">
        <v>4000</v>
      </c>
    </row>
    <row r="243" spans="1:14" x14ac:dyDescent="0.25">
      <c r="A243" s="8">
        <v>190</v>
      </c>
      <c r="B243" s="8">
        <v>15000</v>
      </c>
      <c r="C243" s="8">
        <f t="shared" si="0"/>
        <v>1666.6666666666667</v>
      </c>
      <c r="D243" s="8">
        <v>0</v>
      </c>
      <c r="E243" s="8">
        <v>0</v>
      </c>
      <c r="F243" s="8">
        <v>2000</v>
      </c>
      <c r="G243" s="8">
        <v>2000</v>
      </c>
      <c r="H243" s="8">
        <v>3000</v>
      </c>
      <c r="I243" s="8">
        <v>200</v>
      </c>
      <c r="J243" s="8">
        <v>850</v>
      </c>
      <c r="K243" s="8">
        <v>4000</v>
      </c>
    </row>
    <row r="244" spans="1:14" x14ac:dyDescent="0.25">
      <c r="A244" s="8">
        <v>191</v>
      </c>
      <c r="B244" s="8">
        <v>12000</v>
      </c>
      <c r="C244" s="8">
        <f t="shared" si="0"/>
        <v>1666.6666666666667</v>
      </c>
      <c r="D244" s="8">
        <v>0</v>
      </c>
      <c r="E244" s="8">
        <v>9000</v>
      </c>
      <c r="F244" s="8">
        <v>8000</v>
      </c>
      <c r="G244" s="8">
        <v>2000</v>
      </c>
      <c r="H244" s="8">
        <v>5000</v>
      </c>
      <c r="I244" s="8">
        <v>1200</v>
      </c>
      <c r="J244" s="8">
        <v>1300</v>
      </c>
      <c r="K244" s="8">
        <v>8000</v>
      </c>
    </row>
    <row r="245" spans="1:14" x14ac:dyDescent="0.25">
      <c r="A245" s="8">
        <v>192</v>
      </c>
      <c r="B245" s="8">
        <v>6000</v>
      </c>
      <c r="C245" s="8">
        <v>1000</v>
      </c>
      <c r="D245" s="8">
        <v>0</v>
      </c>
      <c r="E245" s="8">
        <v>0</v>
      </c>
      <c r="F245" s="8">
        <v>0</v>
      </c>
      <c r="G245" s="8">
        <v>2000</v>
      </c>
      <c r="H245" s="8">
        <v>2500</v>
      </c>
      <c r="I245" s="8">
        <v>0</v>
      </c>
      <c r="J245" s="8">
        <v>150</v>
      </c>
      <c r="K245" s="8">
        <v>2000</v>
      </c>
    </row>
    <row r="246" spans="1:14" x14ac:dyDescent="0.25">
      <c r="A246" s="8">
        <v>193</v>
      </c>
      <c r="B246" s="8">
        <v>5000</v>
      </c>
      <c r="C246" s="8">
        <f>15000/12</f>
        <v>1250</v>
      </c>
      <c r="D246" s="8">
        <v>0</v>
      </c>
      <c r="E246" s="8">
        <v>0</v>
      </c>
      <c r="F246" s="8">
        <v>0</v>
      </c>
      <c r="G246" s="8">
        <v>3000</v>
      </c>
      <c r="H246" s="8">
        <v>4000</v>
      </c>
      <c r="I246" s="8">
        <v>300</v>
      </c>
      <c r="J246" s="8">
        <f>180+190</f>
        <v>370</v>
      </c>
      <c r="K246" s="8">
        <v>2500</v>
      </c>
    </row>
    <row r="247" spans="1:14" x14ac:dyDescent="0.25">
      <c r="A247" s="9">
        <v>313</v>
      </c>
      <c r="B247" s="9">
        <v>25000</v>
      </c>
      <c r="C247" s="9">
        <f>30000/12</f>
        <v>2500</v>
      </c>
      <c r="D247" s="9">
        <v>0</v>
      </c>
      <c r="E247" s="9">
        <v>0</v>
      </c>
      <c r="F247" s="9">
        <v>5000</v>
      </c>
      <c r="G247" s="9">
        <v>5000</v>
      </c>
      <c r="H247" s="9">
        <v>3000</v>
      </c>
      <c r="I247" s="9">
        <v>500</v>
      </c>
      <c r="J247" s="9">
        <v>900</v>
      </c>
      <c r="K247" s="9">
        <v>5000</v>
      </c>
    </row>
    <row r="248" spans="1:14" s="4" customFormat="1" x14ac:dyDescent="0.25">
      <c r="L248" s="3"/>
      <c r="M248" s="3"/>
      <c r="N248" s="3"/>
    </row>
    <row r="249" spans="1:14" x14ac:dyDescent="0.25">
      <c r="A249" s="10">
        <v>219</v>
      </c>
      <c r="B249" s="10">
        <v>2500</v>
      </c>
      <c r="C249" s="10">
        <v>1000</v>
      </c>
      <c r="D249" s="10">
        <v>0</v>
      </c>
      <c r="E249" s="10">
        <v>0</v>
      </c>
      <c r="F249" s="10">
        <v>0</v>
      </c>
      <c r="G249" s="10">
        <v>4000</v>
      </c>
      <c r="H249" s="10">
        <v>500</v>
      </c>
      <c r="I249" s="10">
        <v>1000</v>
      </c>
      <c r="J249" s="10">
        <v>350</v>
      </c>
      <c r="K249" s="10">
        <v>2000</v>
      </c>
    </row>
    <row r="250" spans="1:14" x14ac:dyDescent="0.25">
      <c r="A250" s="8">
        <v>306</v>
      </c>
      <c r="B250" s="8">
        <v>10000</v>
      </c>
      <c r="C250" s="8">
        <f>10000/12</f>
        <v>833.33333333333337</v>
      </c>
      <c r="D250" s="8">
        <v>0</v>
      </c>
      <c r="E250" s="8">
        <v>0</v>
      </c>
      <c r="F250" s="8">
        <v>0</v>
      </c>
      <c r="G250" s="8">
        <v>4000</v>
      </c>
      <c r="H250" s="8">
        <v>0</v>
      </c>
      <c r="I250" s="8">
        <v>1000</v>
      </c>
      <c r="J250" s="8">
        <v>500</v>
      </c>
      <c r="K250" s="8">
        <v>4000</v>
      </c>
    </row>
    <row r="251" spans="1:14" x14ac:dyDescent="0.25">
      <c r="A251" s="8">
        <v>220</v>
      </c>
      <c r="B251" s="8">
        <v>3000</v>
      </c>
      <c r="C251" s="8">
        <f>20000/12</f>
        <v>1666.6666666666667</v>
      </c>
      <c r="D251" s="8">
        <v>0</v>
      </c>
      <c r="E251" s="8">
        <v>0</v>
      </c>
      <c r="F251" s="8">
        <v>15000</v>
      </c>
      <c r="G251" s="8">
        <v>1000</v>
      </c>
      <c r="H251" s="8">
        <v>500</v>
      </c>
      <c r="I251" s="8">
        <v>600</v>
      </c>
      <c r="J251" s="8">
        <f>350+400+550</f>
        <v>1300</v>
      </c>
      <c r="K251" s="8">
        <v>1500</v>
      </c>
    </row>
    <row r="252" spans="1:14" x14ac:dyDescent="0.25">
      <c r="A252" s="8">
        <v>307</v>
      </c>
      <c r="B252" s="8">
        <v>20000</v>
      </c>
      <c r="C252" s="8">
        <f>15000/12</f>
        <v>1250</v>
      </c>
      <c r="D252" s="8">
        <v>0</v>
      </c>
      <c r="E252" s="8">
        <v>0</v>
      </c>
      <c r="F252" s="8">
        <v>0</v>
      </c>
      <c r="G252" s="8">
        <v>7000</v>
      </c>
      <c r="H252" s="8">
        <v>5000</v>
      </c>
      <c r="I252" s="8">
        <v>1000</v>
      </c>
      <c r="J252" s="8">
        <v>1500</v>
      </c>
      <c r="K252" s="8">
        <v>7000</v>
      </c>
    </row>
    <row r="253" spans="1:14" x14ac:dyDescent="0.25">
      <c r="A253" s="8">
        <v>268</v>
      </c>
      <c r="B253" s="8">
        <v>10000</v>
      </c>
      <c r="C253" s="8">
        <f>15000/12</f>
        <v>1250</v>
      </c>
      <c r="D253" s="8">
        <v>0</v>
      </c>
      <c r="E253" s="8">
        <v>10000</v>
      </c>
      <c r="F253" s="8">
        <v>20000</v>
      </c>
      <c r="G253" s="8">
        <v>0</v>
      </c>
      <c r="H253" s="8">
        <v>3000</v>
      </c>
      <c r="I253" s="8">
        <v>500</v>
      </c>
      <c r="J253" s="8">
        <v>400</v>
      </c>
      <c r="K253" s="8">
        <v>0</v>
      </c>
    </row>
    <row r="254" spans="1:14" x14ac:dyDescent="0.25">
      <c r="A254" s="8">
        <v>221</v>
      </c>
      <c r="B254" s="8">
        <v>17000</v>
      </c>
      <c r="C254" s="8">
        <f>15000/12</f>
        <v>1250</v>
      </c>
      <c r="D254" s="8">
        <v>0</v>
      </c>
      <c r="E254" s="8">
        <v>3000</v>
      </c>
      <c r="F254" s="8">
        <v>20000</v>
      </c>
      <c r="G254" s="8">
        <v>0</v>
      </c>
      <c r="H254" s="8">
        <v>3500</v>
      </c>
      <c r="I254" s="8">
        <v>1500</v>
      </c>
      <c r="J254" s="8">
        <f>1500+280</f>
        <v>1780</v>
      </c>
      <c r="K254" s="8">
        <v>4000</v>
      </c>
    </row>
    <row r="255" spans="1:14" x14ac:dyDescent="0.25">
      <c r="A255" s="8">
        <v>222</v>
      </c>
      <c r="B255" s="8">
        <v>15000</v>
      </c>
      <c r="C255" s="8">
        <v>0</v>
      </c>
      <c r="D255" s="8">
        <v>0</v>
      </c>
      <c r="E255" s="8">
        <f>7600+5200</f>
        <v>12800</v>
      </c>
      <c r="F255" s="8">
        <v>0</v>
      </c>
      <c r="G255" s="8">
        <v>0</v>
      </c>
      <c r="H255" s="8">
        <v>4000</v>
      </c>
      <c r="I255" s="8">
        <v>500</v>
      </c>
      <c r="J255" s="8">
        <v>1500</v>
      </c>
      <c r="K255" s="8">
        <v>3000</v>
      </c>
    </row>
    <row r="256" spans="1:14" x14ac:dyDescent="0.25">
      <c r="A256" s="8">
        <v>223</v>
      </c>
      <c r="B256" s="8">
        <v>10000</v>
      </c>
      <c r="C256" s="8">
        <v>1000</v>
      </c>
      <c r="D256" s="8">
        <v>0</v>
      </c>
      <c r="E256" s="8">
        <f>(7/100)*100000*(1/6)</f>
        <v>1166.6666666666667</v>
      </c>
      <c r="F256" s="8">
        <v>2000</v>
      </c>
      <c r="G256" s="8">
        <v>3000</v>
      </c>
      <c r="H256" s="8">
        <v>2500</v>
      </c>
      <c r="I256" s="8">
        <v>400</v>
      </c>
      <c r="J256" s="8">
        <v>1800</v>
      </c>
      <c r="K256" s="8">
        <v>5000</v>
      </c>
    </row>
    <row r="257" spans="1:14" x14ac:dyDescent="0.25">
      <c r="A257" s="8">
        <v>224</v>
      </c>
      <c r="B257" s="8">
        <v>10000</v>
      </c>
      <c r="C257" s="8">
        <v>1000</v>
      </c>
      <c r="D257" s="8">
        <v>0</v>
      </c>
      <c r="E257" s="8">
        <v>0</v>
      </c>
      <c r="F257" s="8">
        <v>10000</v>
      </c>
      <c r="G257" s="8">
        <v>1000</v>
      </c>
      <c r="H257" s="8">
        <v>3000</v>
      </c>
      <c r="I257" s="8">
        <v>300</v>
      </c>
      <c r="J257" s="8">
        <f>550</f>
        <v>550</v>
      </c>
      <c r="K257" s="8">
        <v>2000</v>
      </c>
    </row>
    <row r="258" spans="1:14" x14ac:dyDescent="0.25">
      <c r="A258" s="8">
        <v>225</v>
      </c>
      <c r="B258" s="8">
        <v>10000</v>
      </c>
      <c r="C258" s="8">
        <v>1250</v>
      </c>
      <c r="D258" s="8">
        <v>0</v>
      </c>
      <c r="E258" s="8">
        <v>0</v>
      </c>
      <c r="F258" s="8">
        <v>2000</v>
      </c>
      <c r="G258" s="8">
        <v>2000</v>
      </c>
      <c r="H258" s="8">
        <v>4000</v>
      </c>
      <c r="I258" s="8">
        <v>2000</v>
      </c>
      <c r="J258" s="8">
        <v>800</v>
      </c>
      <c r="K258" s="8">
        <v>3000</v>
      </c>
    </row>
    <row r="259" spans="1:14" x14ac:dyDescent="0.25">
      <c r="A259" s="8">
        <v>308</v>
      </c>
      <c r="B259" s="8">
        <v>20000</v>
      </c>
      <c r="C259" s="8">
        <f>10000/12</f>
        <v>833.33333333333337</v>
      </c>
      <c r="D259" s="8">
        <v>0</v>
      </c>
      <c r="E259" s="8">
        <v>0</v>
      </c>
      <c r="F259" s="8">
        <v>3000</v>
      </c>
      <c r="G259" s="8">
        <v>1000</v>
      </c>
      <c r="H259" s="8">
        <v>0</v>
      </c>
      <c r="I259" s="8">
        <v>100</v>
      </c>
      <c r="J259" s="8">
        <v>650</v>
      </c>
      <c r="K259" s="8">
        <v>10000</v>
      </c>
    </row>
    <row r="260" spans="1:14" x14ac:dyDescent="0.25">
      <c r="A260" s="8">
        <v>309</v>
      </c>
      <c r="B260" s="8">
        <v>24000</v>
      </c>
      <c r="C260" s="8">
        <v>1250</v>
      </c>
      <c r="D260" s="8">
        <f>1000/60</f>
        <v>16.666666666666668</v>
      </c>
      <c r="E260" s="8">
        <v>0</v>
      </c>
      <c r="F260" s="8">
        <v>0</v>
      </c>
      <c r="G260" s="8">
        <v>1000</v>
      </c>
      <c r="H260" s="8">
        <v>2000</v>
      </c>
      <c r="I260" s="8">
        <v>500</v>
      </c>
      <c r="J260" s="8">
        <v>550</v>
      </c>
      <c r="K260" s="8">
        <v>5000</v>
      </c>
    </row>
    <row r="261" spans="1:14" x14ac:dyDescent="0.25">
      <c r="A261" s="8">
        <v>310</v>
      </c>
      <c r="B261" s="8">
        <v>25000</v>
      </c>
      <c r="C261" s="8">
        <f>25000/12</f>
        <v>2083.3333333333335</v>
      </c>
      <c r="D261" s="8">
        <v>0</v>
      </c>
      <c r="E261" s="8">
        <v>0</v>
      </c>
      <c r="F261" s="8">
        <v>12000</v>
      </c>
      <c r="G261" s="8">
        <v>2000</v>
      </c>
      <c r="H261" s="8">
        <v>3000</v>
      </c>
      <c r="I261" s="8">
        <v>1000</v>
      </c>
      <c r="J261" s="8">
        <v>750</v>
      </c>
      <c r="K261" s="8">
        <v>1000</v>
      </c>
    </row>
    <row r="262" spans="1:14" x14ac:dyDescent="0.25">
      <c r="A262" s="8">
        <v>311</v>
      </c>
      <c r="B262" s="8">
        <v>7000</v>
      </c>
      <c r="C262" s="8">
        <f>30000/12</f>
        <v>2500</v>
      </c>
      <c r="D262" s="8">
        <v>0</v>
      </c>
      <c r="E262" s="8">
        <v>0</v>
      </c>
      <c r="F262" s="8">
        <v>5000</v>
      </c>
      <c r="G262" s="8">
        <v>1000</v>
      </c>
      <c r="H262" s="8">
        <v>5000</v>
      </c>
      <c r="I262" s="8">
        <v>400</v>
      </c>
      <c r="J262" s="8">
        <v>300</v>
      </c>
      <c r="K262" s="8">
        <v>1000</v>
      </c>
    </row>
    <row r="263" spans="1:14" x14ac:dyDescent="0.25">
      <c r="A263" s="9">
        <v>312</v>
      </c>
      <c r="B263" s="9">
        <v>12000</v>
      </c>
      <c r="C263" s="9">
        <f>25000/12</f>
        <v>2083.3333333333335</v>
      </c>
      <c r="D263" s="9">
        <v>0</v>
      </c>
      <c r="E263" s="9">
        <v>0</v>
      </c>
      <c r="F263" s="9">
        <v>10000</v>
      </c>
      <c r="G263" s="9">
        <v>1500</v>
      </c>
      <c r="H263" s="9">
        <v>0</v>
      </c>
      <c r="I263" s="9">
        <v>1000</v>
      </c>
      <c r="J263" s="9">
        <v>125</v>
      </c>
      <c r="K263" s="9">
        <v>1000</v>
      </c>
    </row>
    <row r="264" spans="1:14" s="4" customFormat="1" x14ac:dyDescent="0.25">
      <c r="L264" s="3"/>
      <c r="M264" s="3"/>
      <c r="N264" s="3"/>
    </row>
    <row r="265" spans="1:14" x14ac:dyDescent="0.25">
      <c r="A265" s="10">
        <v>194</v>
      </c>
      <c r="B265" s="10">
        <v>15000</v>
      </c>
      <c r="C265" s="10">
        <f>10000/12</f>
        <v>833.33333333333337</v>
      </c>
      <c r="D265" s="10">
        <v>0</v>
      </c>
      <c r="E265" s="10">
        <v>0</v>
      </c>
      <c r="F265" s="10">
        <v>0</v>
      </c>
      <c r="G265" s="10">
        <v>15000</v>
      </c>
      <c r="H265" s="10">
        <v>1500</v>
      </c>
      <c r="I265" s="10">
        <v>200</v>
      </c>
      <c r="J265" s="10">
        <v>1200</v>
      </c>
      <c r="K265" s="10">
        <v>2500</v>
      </c>
    </row>
    <row r="266" spans="1:14" x14ac:dyDescent="0.25">
      <c r="A266" s="8">
        <v>195</v>
      </c>
      <c r="B266" s="8">
        <v>10000</v>
      </c>
      <c r="C266" s="8">
        <f>20000/12</f>
        <v>1666.6666666666667</v>
      </c>
      <c r="D266" s="8">
        <v>0</v>
      </c>
      <c r="E266" s="8">
        <v>0</v>
      </c>
      <c r="F266" s="8">
        <v>8000</v>
      </c>
      <c r="G266" s="8">
        <v>10000</v>
      </c>
      <c r="H266" s="8">
        <v>5000</v>
      </c>
      <c r="I266" s="8">
        <v>350</v>
      </c>
      <c r="J266" s="8">
        <v>300</v>
      </c>
      <c r="K266" s="8">
        <v>7000</v>
      </c>
    </row>
    <row r="267" spans="1:14" x14ac:dyDescent="0.25">
      <c r="A267" s="8">
        <v>181</v>
      </c>
      <c r="B267" s="8">
        <v>12000</v>
      </c>
      <c r="C267" s="8">
        <f>25000/12</f>
        <v>2083.3333333333335</v>
      </c>
      <c r="D267" s="8">
        <v>0</v>
      </c>
      <c r="E267" s="8">
        <v>15000</v>
      </c>
      <c r="F267" s="8">
        <v>0</v>
      </c>
      <c r="G267" s="8">
        <v>2500</v>
      </c>
      <c r="H267" s="8">
        <v>1500</v>
      </c>
      <c r="I267" s="8">
        <v>3000</v>
      </c>
      <c r="J267" s="8">
        <v>460</v>
      </c>
      <c r="K267" s="8">
        <v>4000</v>
      </c>
    </row>
    <row r="268" spans="1:14" x14ac:dyDescent="0.25">
      <c r="A268" s="8">
        <v>183</v>
      </c>
      <c r="B268" s="8">
        <v>6000</v>
      </c>
      <c r="C268" s="8">
        <f>15000/12</f>
        <v>1250</v>
      </c>
      <c r="D268" s="8">
        <v>1000</v>
      </c>
      <c r="E268" s="8">
        <v>0</v>
      </c>
      <c r="F268" s="8">
        <v>0</v>
      </c>
      <c r="G268" s="8">
        <v>1500</v>
      </c>
      <c r="H268" s="8">
        <v>500</v>
      </c>
      <c r="I268" s="8">
        <v>200</v>
      </c>
      <c r="J268" s="8">
        <v>250</v>
      </c>
      <c r="K268" s="8">
        <v>3000</v>
      </c>
    </row>
    <row r="269" spans="1:14" x14ac:dyDescent="0.25">
      <c r="A269" s="8">
        <v>180</v>
      </c>
      <c r="B269" s="8">
        <v>15000</v>
      </c>
      <c r="C269" s="8">
        <f>20000/12</f>
        <v>1666.6666666666667</v>
      </c>
      <c r="D269" s="8">
        <v>0</v>
      </c>
      <c r="E269" s="8">
        <v>0</v>
      </c>
      <c r="F269" s="8">
        <v>10000</v>
      </c>
      <c r="G269" s="8">
        <v>5000</v>
      </c>
      <c r="H269" s="8">
        <v>2000</v>
      </c>
      <c r="I269" s="8">
        <v>500</v>
      </c>
      <c r="J269" s="8">
        <v>800</v>
      </c>
      <c r="K269" s="8">
        <v>3500</v>
      </c>
    </row>
    <row r="270" spans="1:14" x14ac:dyDescent="0.25">
      <c r="A270" s="8">
        <v>178</v>
      </c>
      <c r="B270" s="8">
        <v>15000</v>
      </c>
      <c r="C270" s="8">
        <f>40000/12</f>
        <v>3333.3333333333335</v>
      </c>
      <c r="D270" s="8">
        <v>0</v>
      </c>
      <c r="E270" s="8">
        <v>0</v>
      </c>
      <c r="F270" s="8">
        <v>2000</v>
      </c>
      <c r="G270" s="8">
        <v>3000</v>
      </c>
      <c r="H270" s="8">
        <v>500</v>
      </c>
      <c r="I270" s="8">
        <v>1000</v>
      </c>
      <c r="J270" s="8">
        <v>900</v>
      </c>
      <c r="K270" s="8">
        <v>3000</v>
      </c>
    </row>
    <row r="271" spans="1:14" x14ac:dyDescent="0.25">
      <c r="A271" s="8">
        <v>179</v>
      </c>
      <c r="B271" s="8">
        <v>20000</v>
      </c>
      <c r="C271" s="8">
        <f>25000/12</f>
        <v>2083.3333333333335</v>
      </c>
      <c r="D271" s="8">
        <v>0</v>
      </c>
      <c r="E271" s="8">
        <v>0</v>
      </c>
      <c r="F271" s="8">
        <v>4000</v>
      </c>
      <c r="G271" s="8">
        <v>7000</v>
      </c>
      <c r="H271" s="8">
        <v>5000</v>
      </c>
      <c r="I271" s="8">
        <v>500</v>
      </c>
      <c r="J271" s="8">
        <v>850</v>
      </c>
      <c r="K271" s="8">
        <v>3000</v>
      </c>
    </row>
    <row r="272" spans="1:14" x14ac:dyDescent="0.25">
      <c r="A272" s="8">
        <v>182</v>
      </c>
      <c r="B272" s="8">
        <v>20000</v>
      </c>
      <c r="C272" s="8">
        <f>10000/12</f>
        <v>833.33333333333337</v>
      </c>
      <c r="D272" s="8">
        <v>0</v>
      </c>
      <c r="E272" s="8">
        <v>0</v>
      </c>
      <c r="F272" s="8">
        <v>2000</v>
      </c>
      <c r="G272" s="8">
        <v>10000</v>
      </c>
      <c r="H272" s="8">
        <v>7000</v>
      </c>
      <c r="I272" s="8">
        <v>2000</v>
      </c>
      <c r="J272" s="8">
        <v>850</v>
      </c>
      <c r="K272" s="8">
        <v>6000</v>
      </c>
    </row>
    <row r="273" spans="1:14" x14ac:dyDescent="0.25">
      <c r="A273" s="8">
        <v>79</v>
      </c>
      <c r="B273" s="8">
        <v>15000</v>
      </c>
      <c r="C273" s="8">
        <f>15000/12</f>
        <v>1250</v>
      </c>
      <c r="D273" s="8">
        <v>0</v>
      </c>
      <c r="E273" s="8">
        <v>0</v>
      </c>
      <c r="F273" s="8">
        <v>25000</v>
      </c>
      <c r="G273" s="8">
        <v>5000</v>
      </c>
      <c r="H273" s="8">
        <v>4000</v>
      </c>
      <c r="I273" s="8">
        <v>500</v>
      </c>
      <c r="J273" s="8">
        <v>700</v>
      </c>
      <c r="K273" s="8">
        <v>2000</v>
      </c>
    </row>
    <row r="274" spans="1:14" x14ac:dyDescent="0.25">
      <c r="A274" s="8">
        <v>80</v>
      </c>
      <c r="B274" s="8">
        <v>20000</v>
      </c>
      <c r="C274" s="8">
        <f>20000/12</f>
        <v>1666.6666666666667</v>
      </c>
      <c r="D274" s="8">
        <v>0</v>
      </c>
      <c r="E274" s="8">
        <v>0</v>
      </c>
      <c r="F274" s="8">
        <v>0</v>
      </c>
      <c r="G274" s="8">
        <v>5000</v>
      </c>
      <c r="H274" s="8">
        <v>2000</v>
      </c>
      <c r="I274" s="8">
        <v>2000</v>
      </c>
      <c r="J274" s="8">
        <v>800</v>
      </c>
      <c r="K274" s="8">
        <v>3000</v>
      </c>
    </row>
    <row r="275" spans="1:14" x14ac:dyDescent="0.25">
      <c r="A275" s="8">
        <v>77</v>
      </c>
      <c r="B275" s="8">
        <v>20000</v>
      </c>
      <c r="C275" s="8">
        <f>20000/12</f>
        <v>1666.6666666666667</v>
      </c>
      <c r="D275" s="8">
        <v>0</v>
      </c>
      <c r="E275" s="8">
        <v>0</v>
      </c>
      <c r="F275" s="8">
        <v>5000</v>
      </c>
      <c r="G275" s="8">
        <v>6000</v>
      </c>
      <c r="H275" s="8">
        <v>3000</v>
      </c>
      <c r="I275" s="8">
        <v>1500</v>
      </c>
      <c r="J275" s="8">
        <v>650</v>
      </c>
      <c r="K275" s="8">
        <v>5000</v>
      </c>
    </row>
    <row r="276" spans="1:14" x14ac:dyDescent="0.25">
      <c r="A276" s="8">
        <v>78</v>
      </c>
      <c r="B276" s="8">
        <v>18000</v>
      </c>
      <c r="C276" s="8">
        <v>18000</v>
      </c>
      <c r="D276" s="8">
        <v>0</v>
      </c>
      <c r="E276" s="8">
        <v>0</v>
      </c>
      <c r="F276" s="8">
        <v>0</v>
      </c>
      <c r="G276" s="8">
        <v>4000</v>
      </c>
      <c r="H276" s="8">
        <v>4000</v>
      </c>
      <c r="I276" s="8">
        <v>3000</v>
      </c>
      <c r="J276" s="8">
        <v>1500</v>
      </c>
      <c r="K276" s="8">
        <v>3000</v>
      </c>
    </row>
    <row r="277" spans="1:14" x14ac:dyDescent="0.25">
      <c r="A277" s="8">
        <v>76</v>
      </c>
      <c r="B277" s="8">
        <v>25000</v>
      </c>
      <c r="C277" s="8">
        <v>35000</v>
      </c>
      <c r="D277" s="8">
        <v>0</v>
      </c>
      <c r="E277" s="8">
        <v>0</v>
      </c>
      <c r="F277" s="8">
        <v>0</v>
      </c>
      <c r="G277" s="8">
        <v>6000</v>
      </c>
      <c r="H277" s="8">
        <v>6000</v>
      </c>
      <c r="I277" s="8">
        <v>0</v>
      </c>
      <c r="J277" s="8">
        <v>1100</v>
      </c>
      <c r="K277" s="8">
        <v>10000</v>
      </c>
    </row>
    <row r="278" spans="1:14" s="5" customFormat="1" x14ac:dyDescent="0.25">
      <c r="A278" s="6">
        <v>94</v>
      </c>
      <c r="B278" s="6">
        <v>10000</v>
      </c>
      <c r="C278" s="6">
        <f>15000/12</f>
        <v>1250</v>
      </c>
      <c r="D278" s="6">
        <v>0</v>
      </c>
      <c r="E278" s="6">
        <v>0</v>
      </c>
      <c r="F278" s="6">
        <v>10000</v>
      </c>
      <c r="G278" s="6">
        <v>1000</v>
      </c>
      <c r="H278" s="6">
        <v>1500</v>
      </c>
      <c r="I278" s="6">
        <v>200</v>
      </c>
      <c r="J278" s="6">
        <v>110</v>
      </c>
      <c r="K278" s="6">
        <v>4000</v>
      </c>
    </row>
    <row r="279" spans="1:14" x14ac:dyDescent="0.25">
      <c r="A279" s="9">
        <v>93</v>
      </c>
      <c r="B279" s="9">
        <v>15000</v>
      </c>
      <c r="C279" s="9">
        <v>1250</v>
      </c>
      <c r="D279" s="9">
        <v>0</v>
      </c>
      <c r="E279" s="9">
        <v>0</v>
      </c>
      <c r="F279" s="9">
        <v>0</v>
      </c>
      <c r="G279" s="9">
        <v>7000</v>
      </c>
      <c r="H279" s="9">
        <v>3000</v>
      </c>
      <c r="I279" s="9">
        <v>300</v>
      </c>
      <c r="J279" s="9">
        <v>275</v>
      </c>
      <c r="K279" s="9">
        <v>5500</v>
      </c>
    </row>
    <row r="280" spans="1:14" s="4" customFormat="1" x14ac:dyDescent="0.25">
      <c r="L280" s="3"/>
      <c r="M280" s="3"/>
      <c r="N280" s="3"/>
    </row>
  </sheetData>
  <pageMargins left="0.7" right="0.7" top="0.75" bottom="0.75" header="0.3" footer="0.3"/>
  <pageSetup paperSize="9" orientation="portrait" r:id="rId1"/>
  <headerFooter>
    <oddHeader>&amp;C&amp;"Century,Regular"&amp;10Annexure1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workbookViewId="0">
      <selection sqref="A1:XFD1"/>
    </sheetView>
  </sheetViews>
  <sheetFormatPr defaultRowHeight="15" x14ac:dyDescent="0.25"/>
  <cols>
    <col min="1" max="2" width="4.85546875" style="19" customWidth="1"/>
    <col min="3" max="3" width="4" style="50" bestFit="1" customWidth="1"/>
    <col min="4" max="4" width="6.28515625" style="50" customWidth="1"/>
  </cols>
  <sheetData>
    <row r="1" spans="1:4" s="95" customFormat="1" ht="23.25" x14ac:dyDescent="0.25">
      <c r="A1" s="92" t="s">
        <v>264</v>
      </c>
      <c r="B1" s="92" t="s">
        <v>265</v>
      </c>
      <c r="C1" s="93" t="s">
        <v>266</v>
      </c>
      <c r="D1" s="94" t="s">
        <v>267</v>
      </c>
    </row>
    <row r="2" spans="1:4" x14ac:dyDescent="0.25">
      <c r="A2" s="20">
        <v>1.5</v>
      </c>
      <c r="B2" s="20"/>
      <c r="C2" s="23">
        <v>140</v>
      </c>
      <c r="D2" s="23">
        <f>31*100*20.5</f>
        <v>63550</v>
      </c>
    </row>
    <row r="3" spans="1:4" x14ac:dyDescent="0.25">
      <c r="A3" s="20">
        <v>1</v>
      </c>
      <c r="B3" s="20"/>
      <c r="C3" s="23">
        <v>80</v>
      </c>
      <c r="D3" s="23">
        <f>31*20*20.5</f>
        <v>12710</v>
      </c>
    </row>
    <row r="4" spans="1:4" x14ac:dyDescent="0.25">
      <c r="A4" s="20">
        <v>1.75</v>
      </c>
      <c r="B4" s="20"/>
      <c r="C4" s="23">
        <v>125</v>
      </c>
      <c r="D4" s="23">
        <f>27*2090</f>
        <v>56430</v>
      </c>
    </row>
    <row r="5" spans="1:4" x14ac:dyDescent="0.25">
      <c r="A5" s="20">
        <v>2.5</v>
      </c>
      <c r="B5" s="20"/>
      <c r="C5" s="23">
        <v>250</v>
      </c>
      <c r="D5" s="23">
        <f>220*20.5*40</f>
        <v>180400</v>
      </c>
    </row>
    <row r="6" spans="1:4" x14ac:dyDescent="0.25">
      <c r="A6" s="20">
        <v>1</v>
      </c>
      <c r="B6" s="20">
        <v>0.25</v>
      </c>
      <c r="C6" s="23">
        <v>100</v>
      </c>
      <c r="D6" s="23">
        <f>32*60*20.5</f>
        <v>39360</v>
      </c>
    </row>
    <row r="7" spans="1:4" x14ac:dyDescent="0.25">
      <c r="A7" s="20">
        <v>2</v>
      </c>
      <c r="B7" s="20"/>
      <c r="C7" s="23">
        <v>160</v>
      </c>
      <c r="D7" s="23">
        <f>31*1500</f>
        <v>46500</v>
      </c>
    </row>
    <row r="8" spans="1:4" x14ac:dyDescent="0.25">
      <c r="A8" s="20">
        <v>1</v>
      </c>
      <c r="B8" s="20"/>
      <c r="C8" s="23">
        <v>70</v>
      </c>
      <c r="D8" s="23">
        <v>30000</v>
      </c>
    </row>
    <row r="9" spans="1:4" x14ac:dyDescent="0.25">
      <c r="A9" s="20"/>
      <c r="B9" s="20"/>
      <c r="C9" s="23">
        <v>150</v>
      </c>
      <c r="D9" s="23">
        <f>30*3000</f>
        <v>90000</v>
      </c>
    </row>
    <row r="10" spans="1:4" x14ac:dyDescent="0.25">
      <c r="A10" s="20">
        <v>3</v>
      </c>
      <c r="B10" s="20"/>
      <c r="C10" s="23">
        <v>150</v>
      </c>
      <c r="D10" s="23">
        <f>30*2640</f>
        <v>79200</v>
      </c>
    </row>
    <row r="11" spans="1:4" x14ac:dyDescent="0.25">
      <c r="A11" s="20">
        <v>1</v>
      </c>
      <c r="B11" s="20"/>
      <c r="C11" s="23">
        <v>60</v>
      </c>
      <c r="D11" s="23">
        <f>32*660</f>
        <v>21120</v>
      </c>
    </row>
    <row r="12" spans="1:4" x14ac:dyDescent="0.25">
      <c r="A12" s="20">
        <v>1.5</v>
      </c>
      <c r="B12" s="20"/>
      <c r="C12" s="23">
        <v>120</v>
      </c>
      <c r="D12" s="23">
        <f>34*1540</f>
        <v>52360</v>
      </c>
    </row>
    <row r="13" spans="1:4" x14ac:dyDescent="0.25">
      <c r="A13" s="20">
        <v>2.5</v>
      </c>
      <c r="B13" s="20"/>
      <c r="C13" s="23">
        <v>170</v>
      </c>
      <c r="D13" s="23">
        <f>30*2310</f>
        <v>69300</v>
      </c>
    </row>
    <row r="14" spans="1:4" x14ac:dyDescent="0.25">
      <c r="A14" s="20">
        <v>1</v>
      </c>
      <c r="B14" s="20"/>
      <c r="C14" s="23">
        <v>70</v>
      </c>
      <c r="D14" s="23">
        <f>31*660</f>
        <v>20460</v>
      </c>
    </row>
    <row r="15" spans="1:4" x14ac:dyDescent="0.25">
      <c r="A15" s="20">
        <v>1</v>
      </c>
      <c r="B15" s="20"/>
      <c r="C15" s="23">
        <v>130</v>
      </c>
      <c r="D15" s="23">
        <f>33*1485</f>
        <v>49005</v>
      </c>
    </row>
    <row r="16" spans="1:4" x14ac:dyDescent="0.25">
      <c r="A16" s="21">
        <v>2.75</v>
      </c>
      <c r="B16" s="21"/>
      <c r="C16" s="29">
        <v>140</v>
      </c>
      <c r="D16" s="29">
        <f>31*2420</f>
        <v>75020</v>
      </c>
    </row>
    <row r="17" spans="1:4" x14ac:dyDescent="0.25">
      <c r="A17" s="22">
        <v>1</v>
      </c>
      <c r="B17" s="22">
        <v>2</v>
      </c>
      <c r="C17" s="30">
        <v>90</v>
      </c>
      <c r="D17" s="30">
        <f>27*1000</f>
        <v>27000</v>
      </c>
    </row>
    <row r="18" spans="1:4" x14ac:dyDescent="0.25">
      <c r="A18" s="20">
        <v>0</v>
      </c>
      <c r="B18" s="20">
        <v>1.5</v>
      </c>
      <c r="C18" s="23"/>
      <c r="D18" s="23"/>
    </row>
    <row r="19" spans="1:4" x14ac:dyDescent="0.25">
      <c r="A19" s="20">
        <v>0</v>
      </c>
      <c r="B19" s="20">
        <v>3</v>
      </c>
      <c r="C19" s="23"/>
      <c r="D19" s="23"/>
    </row>
    <row r="20" spans="1:4" x14ac:dyDescent="0.25">
      <c r="A20" s="20">
        <v>3</v>
      </c>
      <c r="B20" s="20"/>
      <c r="C20" s="23">
        <v>125</v>
      </c>
      <c r="D20" s="23">
        <f>33*2200</f>
        <v>72600</v>
      </c>
    </row>
    <row r="21" spans="1:4" x14ac:dyDescent="0.25">
      <c r="A21" s="20">
        <v>1</v>
      </c>
      <c r="B21" s="20">
        <v>2</v>
      </c>
      <c r="C21" s="23">
        <v>75</v>
      </c>
      <c r="D21" s="23">
        <f>28*660</f>
        <v>18480</v>
      </c>
    </row>
    <row r="22" spans="1:4" x14ac:dyDescent="0.25">
      <c r="A22" s="20">
        <v>0.25</v>
      </c>
      <c r="B22" s="20">
        <v>1</v>
      </c>
      <c r="C22" s="23">
        <v>12</v>
      </c>
      <c r="D22" s="23"/>
    </row>
    <row r="23" spans="1:4" x14ac:dyDescent="0.25">
      <c r="A23" s="20">
        <v>0.25</v>
      </c>
      <c r="B23" s="20">
        <v>1.25</v>
      </c>
      <c r="C23" s="31">
        <v>45</v>
      </c>
      <c r="D23" s="31">
        <v>0</v>
      </c>
    </row>
    <row r="24" spans="1:4" x14ac:dyDescent="0.25">
      <c r="A24" s="20">
        <v>3</v>
      </c>
      <c r="B24" s="20"/>
      <c r="C24" s="23">
        <v>325</v>
      </c>
      <c r="D24" s="23">
        <f>31*5720</f>
        <v>177320</v>
      </c>
    </row>
    <row r="25" spans="1:4" x14ac:dyDescent="0.25">
      <c r="A25" s="20">
        <v>1</v>
      </c>
      <c r="B25" s="20"/>
      <c r="C25" s="23">
        <v>65</v>
      </c>
      <c r="D25" s="23">
        <v>0</v>
      </c>
    </row>
    <row r="26" spans="1:4" x14ac:dyDescent="0.25">
      <c r="A26" s="20">
        <v>0.5</v>
      </c>
      <c r="B26" s="20">
        <v>2.5</v>
      </c>
      <c r="C26" s="23">
        <v>35</v>
      </c>
      <c r="D26" s="23">
        <v>0</v>
      </c>
    </row>
    <row r="27" spans="1:4" x14ac:dyDescent="0.25">
      <c r="A27" s="20">
        <v>1.5</v>
      </c>
      <c r="B27" s="20"/>
      <c r="C27" s="23">
        <v>140</v>
      </c>
      <c r="D27" s="23">
        <f>26*2750</f>
        <v>71500</v>
      </c>
    </row>
    <row r="28" spans="1:4" x14ac:dyDescent="0.25">
      <c r="A28" s="20">
        <v>3</v>
      </c>
      <c r="B28" s="20"/>
      <c r="C28" s="23">
        <v>210</v>
      </c>
      <c r="D28" s="23">
        <f>27*3300</f>
        <v>89100</v>
      </c>
    </row>
    <row r="29" spans="1:4" x14ac:dyDescent="0.25">
      <c r="A29" s="20">
        <v>3</v>
      </c>
      <c r="B29" s="20"/>
      <c r="C29" s="31">
        <v>200</v>
      </c>
      <c r="D29" s="31">
        <f>27*3300</f>
        <v>89100</v>
      </c>
    </row>
    <row r="30" spans="1:4" x14ac:dyDescent="0.25">
      <c r="A30" s="20">
        <v>1.5</v>
      </c>
      <c r="B30" s="20">
        <v>1.5</v>
      </c>
      <c r="C30" s="23">
        <v>170</v>
      </c>
      <c r="D30" s="23">
        <f>28*1980</f>
        <v>55440</v>
      </c>
    </row>
    <row r="31" spans="1:4" x14ac:dyDescent="0.25">
      <c r="A31" s="20">
        <v>1</v>
      </c>
      <c r="B31" s="20"/>
      <c r="C31" s="23">
        <v>110</v>
      </c>
      <c r="D31" s="23">
        <f>35*1980</f>
        <v>69300</v>
      </c>
    </row>
    <row r="32" spans="1:4" x14ac:dyDescent="0.25">
      <c r="A32" s="20">
        <v>1</v>
      </c>
      <c r="B32" s="20"/>
      <c r="C32" s="23">
        <v>95</v>
      </c>
      <c r="D32" s="23">
        <f>30*1650</f>
        <v>49500</v>
      </c>
    </row>
    <row r="33" spans="1:4" x14ac:dyDescent="0.25">
      <c r="A33" s="20">
        <v>0.25</v>
      </c>
      <c r="B33" s="20"/>
      <c r="C33" s="23">
        <v>40</v>
      </c>
      <c r="D33" s="23">
        <v>0</v>
      </c>
    </row>
    <row r="34" spans="1:4" x14ac:dyDescent="0.25">
      <c r="A34" s="20">
        <v>1</v>
      </c>
      <c r="B34" s="20">
        <v>2</v>
      </c>
      <c r="C34" s="23">
        <v>80</v>
      </c>
      <c r="D34" s="23">
        <f>31*1000</f>
        <v>31000</v>
      </c>
    </row>
    <row r="35" spans="1:4" x14ac:dyDescent="0.25">
      <c r="A35" s="20">
        <v>2</v>
      </c>
      <c r="B35" s="20">
        <v>1</v>
      </c>
      <c r="C35" s="23">
        <v>250</v>
      </c>
      <c r="D35" s="23">
        <f>27*3000</f>
        <v>81000</v>
      </c>
    </row>
    <row r="36" spans="1:4" x14ac:dyDescent="0.25">
      <c r="A36" s="20">
        <v>3</v>
      </c>
      <c r="B36" s="20"/>
      <c r="C36" s="23">
        <v>250</v>
      </c>
      <c r="D36" s="23">
        <f>45*2000</f>
        <v>90000</v>
      </c>
    </row>
    <row r="37" spans="1:4" x14ac:dyDescent="0.25">
      <c r="A37" s="20">
        <v>1</v>
      </c>
      <c r="B37" s="20">
        <v>1</v>
      </c>
      <c r="C37" s="23">
        <v>80</v>
      </c>
      <c r="D37" s="23">
        <v>31000</v>
      </c>
    </row>
    <row r="38" spans="1:4" x14ac:dyDescent="0.25">
      <c r="A38" s="20">
        <v>0.75</v>
      </c>
      <c r="B38" s="20">
        <v>0.75</v>
      </c>
      <c r="C38" s="23">
        <v>110</v>
      </c>
      <c r="D38" s="23">
        <f>45*100*20.5</f>
        <v>92250</v>
      </c>
    </row>
    <row r="39" spans="1:4" x14ac:dyDescent="0.25">
      <c r="A39" s="20">
        <v>2</v>
      </c>
      <c r="B39" s="20"/>
      <c r="C39" s="23">
        <v>140</v>
      </c>
      <c r="D39" s="23">
        <f>23*2420</f>
        <v>55660</v>
      </c>
    </row>
    <row r="40" spans="1:4" x14ac:dyDescent="0.25">
      <c r="A40" s="20">
        <v>0</v>
      </c>
      <c r="B40" s="20">
        <v>0</v>
      </c>
      <c r="C40" s="23"/>
      <c r="D40" s="23"/>
    </row>
    <row r="41" spans="1:4" x14ac:dyDescent="0.25">
      <c r="A41" s="20">
        <v>1.5</v>
      </c>
      <c r="B41" s="20"/>
      <c r="C41" s="23">
        <v>115</v>
      </c>
      <c r="D41" s="23">
        <f>37*2530</f>
        <v>93610</v>
      </c>
    </row>
    <row r="42" spans="1:4" x14ac:dyDescent="0.25">
      <c r="A42" s="20">
        <v>3</v>
      </c>
      <c r="B42" s="20"/>
      <c r="C42" s="23">
        <v>300</v>
      </c>
      <c r="D42" s="23">
        <f>40*5940</f>
        <v>237600</v>
      </c>
    </row>
    <row r="43" spans="1:4" x14ac:dyDescent="0.25">
      <c r="A43" s="20">
        <v>1.5</v>
      </c>
      <c r="B43" s="20"/>
      <c r="C43" s="23">
        <v>150</v>
      </c>
      <c r="D43" s="23">
        <f>23*2100</f>
        <v>48300</v>
      </c>
    </row>
    <row r="44" spans="1:4" x14ac:dyDescent="0.25">
      <c r="A44" s="20">
        <v>0.25</v>
      </c>
      <c r="B44" s="20">
        <v>2.75</v>
      </c>
      <c r="C44" s="23">
        <v>22</v>
      </c>
      <c r="D44" s="23">
        <f>35*484</f>
        <v>16940</v>
      </c>
    </row>
    <row r="45" spans="1:4" x14ac:dyDescent="0.25">
      <c r="A45" s="20">
        <v>1.5</v>
      </c>
      <c r="B45" s="20"/>
      <c r="C45" s="23">
        <v>75</v>
      </c>
      <c r="D45" s="23">
        <f>45*1210</f>
        <v>54450</v>
      </c>
    </row>
    <row r="46" spans="1:4" x14ac:dyDescent="0.25">
      <c r="A46" s="20">
        <v>3</v>
      </c>
      <c r="B46" s="20"/>
      <c r="C46" s="23">
        <v>300</v>
      </c>
      <c r="D46" s="23">
        <f>32*3700</f>
        <v>118400</v>
      </c>
    </row>
    <row r="47" spans="1:4" x14ac:dyDescent="0.25">
      <c r="A47" s="20">
        <v>3</v>
      </c>
      <c r="B47" s="20"/>
      <c r="C47" s="23">
        <v>250</v>
      </c>
      <c r="D47" s="23">
        <f>27*5000</f>
        <v>135000</v>
      </c>
    </row>
    <row r="48" spans="1:4" x14ac:dyDescent="0.25">
      <c r="A48" s="21">
        <v>1</v>
      </c>
      <c r="B48" s="21">
        <v>1</v>
      </c>
      <c r="C48" s="29">
        <v>130</v>
      </c>
      <c r="D48" s="29"/>
    </row>
    <row r="49" spans="1:4" x14ac:dyDescent="0.25">
      <c r="A49" s="22">
        <v>1</v>
      </c>
      <c r="B49" s="22"/>
      <c r="C49" s="30">
        <v>50</v>
      </c>
      <c r="D49" s="30">
        <f>36*660</f>
        <v>23760</v>
      </c>
    </row>
    <row r="50" spans="1:4" x14ac:dyDescent="0.25">
      <c r="A50" s="20">
        <v>1</v>
      </c>
      <c r="B50" s="20"/>
      <c r="C50" s="23">
        <v>60</v>
      </c>
      <c r="D50" s="23">
        <v>0</v>
      </c>
    </row>
    <row r="51" spans="1:4" x14ac:dyDescent="0.25">
      <c r="A51" s="20"/>
      <c r="B51" s="20"/>
      <c r="C51" s="23"/>
      <c r="D51" s="23"/>
    </row>
    <row r="52" spans="1:4" x14ac:dyDescent="0.25">
      <c r="A52" s="20">
        <v>0.5</v>
      </c>
      <c r="B52" s="20"/>
      <c r="C52" s="23">
        <v>65</v>
      </c>
      <c r="D52" s="23">
        <f>36*880</f>
        <v>31680</v>
      </c>
    </row>
    <row r="53" spans="1:4" x14ac:dyDescent="0.25">
      <c r="A53" s="20">
        <v>0.5</v>
      </c>
      <c r="B53" s="20">
        <v>2.5</v>
      </c>
      <c r="C53" s="23">
        <v>60</v>
      </c>
      <c r="D53" s="23">
        <v>0</v>
      </c>
    </row>
    <row r="54" spans="1:4" x14ac:dyDescent="0.25">
      <c r="A54" s="20">
        <v>1.5</v>
      </c>
      <c r="B54" s="20">
        <v>1.5</v>
      </c>
      <c r="C54" s="23">
        <v>125</v>
      </c>
      <c r="D54" s="23">
        <f>28*2200</f>
        <v>61600</v>
      </c>
    </row>
    <row r="55" spans="1:4" x14ac:dyDescent="0.25">
      <c r="A55" s="20">
        <v>3</v>
      </c>
      <c r="B55" s="20"/>
      <c r="C55" s="23">
        <v>60</v>
      </c>
      <c r="D55" s="23">
        <v>0</v>
      </c>
    </row>
    <row r="56" spans="1:4" x14ac:dyDescent="0.25">
      <c r="A56" s="20">
        <v>1.5</v>
      </c>
      <c r="B56" s="20"/>
      <c r="C56" s="23">
        <v>75</v>
      </c>
      <c r="D56" s="23">
        <f>26*550</f>
        <v>14300</v>
      </c>
    </row>
    <row r="57" spans="1:4" x14ac:dyDescent="0.25">
      <c r="A57" s="20">
        <v>3</v>
      </c>
      <c r="B57" s="20"/>
      <c r="C57" s="23">
        <v>300</v>
      </c>
      <c r="D57" s="23">
        <f>35*6050</f>
        <v>211750</v>
      </c>
    </row>
    <row r="58" spans="1:4" x14ac:dyDescent="0.25">
      <c r="A58" s="20">
        <v>0.75</v>
      </c>
      <c r="B58" s="20"/>
      <c r="C58" s="23">
        <v>50</v>
      </c>
      <c r="D58" s="23">
        <f>31*440</f>
        <v>13640</v>
      </c>
    </row>
    <row r="59" spans="1:4" x14ac:dyDescent="0.25">
      <c r="A59" s="20">
        <v>1.5</v>
      </c>
      <c r="B59" s="20"/>
      <c r="C59" s="23">
        <v>150</v>
      </c>
      <c r="D59" s="23">
        <f>27*2200</f>
        <v>59400</v>
      </c>
    </row>
    <row r="60" spans="1:4" x14ac:dyDescent="0.25">
      <c r="A60" s="20">
        <v>1.5</v>
      </c>
      <c r="B60" s="20"/>
      <c r="C60" s="23">
        <v>140</v>
      </c>
      <c r="D60" s="23">
        <f>28*1980</f>
        <v>55440</v>
      </c>
    </row>
    <row r="61" spans="1:4" x14ac:dyDescent="0.25">
      <c r="A61" s="20">
        <v>0</v>
      </c>
      <c r="B61" s="20">
        <v>1.5</v>
      </c>
      <c r="C61" s="23"/>
      <c r="D61" s="23"/>
    </row>
    <row r="62" spans="1:4" x14ac:dyDescent="0.25">
      <c r="A62" s="20">
        <v>1</v>
      </c>
      <c r="B62" s="20"/>
      <c r="C62" s="23">
        <v>100</v>
      </c>
      <c r="D62" s="23">
        <f>27*600</f>
        <v>16200</v>
      </c>
    </row>
    <row r="63" spans="1:4" x14ac:dyDescent="0.25">
      <c r="A63" s="20">
        <v>0</v>
      </c>
      <c r="B63" s="20">
        <v>1.5</v>
      </c>
      <c r="C63" s="23"/>
      <c r="D63" s="23"/>
    </row>
    <row r="64" spans="1:4" x14ac:dyDescent="0.25">
      <c r="A64" s="21">
        <v>3</v>
      </c>
      <c r="B64" s="21"/>
      <c r="C64" s="29">
        <v>260</v>
      </c>
      <c r="D64" s="29">
        <f>27*4070</f>
        <v>109890</v>
      </c>
    </row>
    <row r="65" spans="1:4" x14ac:dyDescent="0.25">
      <c r="A65" s="22">
        <v>1.5</v>
      </c>
      <c r="B65" s="22"/>
      <c r="C65" s="30">
        <v>100</v>
      </c>
      <c r="D65" s="30">
        <f>27*1760</f>
        <v>47520</v>
      </c>
    </row>
    <row r="66" spans="1:4" x14ac:dyDescent="0.25">
      <c r="A66" s="20">
        <v>1</v>
      </c>
      <c r="B66" s="20"/>
      <c r="C66" s="23">
        <v>90</v>
      </c>
      <c r="D66" s="23">
        <f>43*880</f>
        <v>37840</v>
      </c>
    </row>
    <row r="67" spans="1:4" x14ac:dyDescent="0.25">
      <c r="A67" s="20">
        <v>1.5</v>
      </c>
      <c r="B67" s="20"/>
      <c r="C67" s="23">
        <v>80</v>
      </c>
      <c r="D67" s="23">
        <f>30*880</f>
        <v>26400</v>
      </c>
    </row>
    <row r="68" spans="1:4" x14ac:dyDescent="0.25">
      <c r="A68" s="20">
        <v>1</v>
      </c>
      <c r="B68" s="20"/>
      <c r="C68" s="23">
        <v>90</v>
      </c>
      <c r="D68" s="23">
        <f>32*880</f>
        <v>28160</v>
      </c>
    </row>
    <row r="69" spans="1:4" x14ac:dyDescent="0.25">
      <c r="A69" s="20">
        <v>3</v>
      </c>
      <c r="B69" s="20"/>
      <c r="C69" s="23">
        <v>250</v>
      </c>
      <c r="D69" s="23">
        <f>27*4180</f>
        <v>112860</v>
      </c>
    </row>
    <row r="70" spans="1:4" x14ac:dyDescent="0.25">
      <c r="A70" s="20">
        <v>1.5</v>
      </c>
      <c r="B70" s="20"/>
      <c r="C70" s="23">
        <v>120</v>
      </c>
      <c r="D70" s="23">
        <f>27*1760</f>
        <v>47520</v>
      </c>
    </row>
    <row r="71" spans="1:4" x14ac:dyDescent="0.25">
      <c r="A71" s="20">
        <v>1.5</v>
      </c>
      <c r="B71" s="20"/>
      <c r="C71" s="23">
        <v>125</v>
      </c>
      <c r="D71" s="23">
        <f>29*1650</f>
        <v>47850</v>
      </c>
    </row>
    <row r="72" spans="1:4" x14ac:dyDescent="0.25">
      <c r="A72" s="20">
        <v>1</v>
      </c>
      <c r="B72" s="20"/>
      <c r="C72" s="23">
        <v>80</v>
      </c>
      <c r="D72" s="23">
        <f>27*1100</f>
        <v>29700</v>
      </c>
    </row>
    <row r="73" spans="1:4" x14ac:dyDescent="0.25">
      <c r="A73" s="20">
        <v>3</v>
      </c>
      <c r="B73" s="20"/>
      <c r="C73" s="23">
        <v>250</v>
      </c>
      <c r="D73" s="23">
        <f>27*4400</f>
        <v>118800</v>
      </c>
    </row>
    <row r="74" spans="1:4" x14ac:dyDescent="0.25">
      <c r="A74" s="20">
        <v>1.5</v>
      </c>
      <c r="B74" s="20"/>
      <c r="C74" s="23">
        <v>140</v>
      </c>
      <c r="D74" s="23">
        <f>31*1980</f>
        <v>61380</v>
      </c>
    </row>
    <row r="75" spans="1:4" x14ac:dyDescent="0.25">
      <c r="A75" s="20">
        <v>3</v>
      </c>
      <c r="B75" s="20"/>
      <c r="C75" s="23">
        <v>250</v>
      </c>
      <c r="D75" s="23">
        <f>21*3080</f>
        <v>64680</v>
      </c>
    </row>
    <row r="76" spans="1:4" x14ac:dyDescent="0.25">
      <c r="A76" s="20">
        <v>3</v>
      </c>
      <c r="B76" s="20"/>
      <c r="C76" s="23">
        <v>200</v>
      </c>
      <c r="D76" s="23">
        <f>30.5*3410</f>
        <v>104005</v>
      </c>
    </row>
    <row r="77" spans="1:4" x14ac:dyDescent="0.25">
      <c r="A77" s="20">
        <v>1.5</v>
      </c>
      <c r="B77" s="20"/>
      <c r="C77" s="23">
        <v>100</v>
      </c>
      <c r="D77" s="23">
        <f>27*1320</f>
        <v>35640</v>
      </c>
    </row>
    <row r="78" spans="1:4" x14ac:dyDescent="0.25">
      <c r="A78" s="21">
        <v>2</v>
      </c>
      <c r="B78" s="21"/>
      <c r="C78" s="29">
        <v>150</v>
      </c>
      <c r="D78" s="29">
        <f>31*2420</f>
        <v>75020</v>
      </c>
    </row>
    <row r="79" spans="1:4" x14ac:dyDescent="0.25">
      <c r="A79" s="22"/>
      <c r="B79" s="22">
        <v>0.5</v>
      </c>
      <c r="C79" s="30"/>
      <c r="D79" s="30"/>
    </row>
    <row r="80" spans="1:4" x14ac:dyDescent="0.25">
      <c r="A80" s="20">
        <v>0.5</v>
      </c>
      <c r="B80" s="20"/>
      <c r="C80" s="23">
        <v>30</v>
      </c>
      <c r="D80" s="23">
        <f>30*700</f>
        <v>21000</v>
      </c>
    </row>
    <row r="81" spans="1:4" x14ac:dyDescent="0.25">
      <c r="A81" s="57">
        <v>3.5</v>
      </c>
      <c r="B81" s="57"/>
      <c r="C81" s="23">
        <v>200</v>
      </c>
      <c r="D81" s="23">
        <f>30*3850</f>
        <v>115500</v>
      </c>
    </row>
    <row r="82" spans="1:4" x14ac:dyDescent="0.25">
      <c r="A82" s="57">
        <v>3</v>
      </c>
      <c r="B82" s="57">
        <v>1</v>
      </c>
      <c r="C82" s="23">
        <v>100</v>
      </c>
      <c r="D82" s="23">
        <f>35*2000</f>
        <v>70000</v>
      </c>
    </row>
    <row r="83" spans="1:4" x14ac:dyDescent="0.25">
      <c r="A83" s="57">
        <v>1.5</v>
      </c>
      <c r="B83" s="57"/>
      <c r="C83" s="23">
        <v>140</v>
      </c>
      <c r="D83" s="23">
        <f>28*1500</f>
        <v>42000</v>
      </c>
    </row>
    <row r="84" spans="1:4" x14ac:dyDescent="0.25">
      <c r="A84" s="57"/>
      <c r="B84" s="57">
        <v>1</v>
      </c>
      <c r="C84" s="23"/>
      <c r="D84" s="23"/>
    </row>
    <row r="85" spans="1:4" x14ac:dyDescent="0.25">
      <c r="A85" s="57">
        <v>1</v>
      </c>
      <c r="B85" s="57">
        <v>0.5</v>
      </c>
      <c r="C85" s="23">
        <v>80</v>
      </c>
      <c r="D85" s="23">
        <f>675*30</f>
        <v>20250</v>
      </c>
    </row>
    <row r="86" spans="1:4" x14ac:dyDescent="0.25">
      <c r="A86" s="57">
        <v>1</v>
      </c>
      <c r="B86" s="57">
        <v>0.5</v>
      </c>
      <c r="C86" s="23">
        <v>85</v>
      </c>
      <c r="D86" s="23">
        <f>65*22.5*42</f>
        <v>61425</v>
      </c>
    </row>
    <row r="87" spans="1:4" x14ac:dyDescent="0.25">
      <c r="A87" s="20">
        <v>3</v>
      </c>
      <c r="B87" s="20"/>
      <c r="C87" s="23">
        <v>105</v>
      </c>
      <c r="D87" s="23">
        <f>41.5*1760</f>
        <v>73040</v>
      </c>
    </row>
    <row r="88" spans="1:4" x14ac:dyDescent="0.25">
      <c r="A88" s="20"/>
      <c r="B88" s="20">
        <v>2</v>
      </c>
      <c r="C88" s="23"/>
      <c r="D88" s="23"/>
    </row>
    <row r="89" spans="1:4" x14ac:dyDescent="0.25">
      <c r="A89" s="20">
        <v>1</v>
      </c>
      <c r="B89" s="20">
        <v>1.5</v>
      </c>
      <c r="C89" s="23">
        <v>95</v>
      </c>
      <c r="D89" s="23">
        <f>35*95</f>
        <v>3325</v>
      </c>
    </row>
    <row r="90" spans="1:4" x14ac:dyDescent="0.25">
      <c r="A90" s="20">
        <v>2</v>
      </c>
      <c r="B90" s="20"/>
      <c r="C90" s="23">
        <v>200</v>
      </c>
      <c r="D90" s="23">
        <f>30*190</f>
        <v>5700</v>
      </c>
    </row>
    <row r="91" spans="1:4" x14ac:dyDescent="0.25">
      <c r="A91" s="20">
        <v>1.5</v>
      </c>
      <c r="B91" s="20"/>
      <c r="C91" s="23">
        <v>120</v>
      </c>
      <c r="D91" s="23">
        <f>80*20.5*29</f>
        <v>47560</v>
      </c>
    </row>
    <row r="92" spans="1:4" x14ac:dyDescent="0.25">
      <c r="A92" s="20">
        <v>2</v>
      </c>
      <c r="B92" s="20"/>
      <c r="C92" s="23">
        <v>300</v>
      </c>
      <c r="D92" s="23">
        <f>270*20.5*26</f>
        <v>143910</v>
      </c>
    </row>
    <row r="93" spans="1:4" x14ac:dyDescent="0.25">
      <c r="A93" s="20">
        <v>2.5</v>
      </c>
      <c r="B93" s="20"/>
      <c r="C93" s="23">
        <v>125</v>
      </c>
      <c r="D93" s="23">
        <f>20.5*100*35</f>
        <v>71750</v>
      </c>
    </row>
    <row r="94" spans="1:4" x14ac:dyDescent="0.25">
      <c r="A94" s="20">
        <v>3</v>
      </c>
      <c r="B94" s="20"/>
      <c r="C94" s="23">
        <v>200</v>
      </c>
      <c r="D94" s="23">
        <f>175*20.5*35</f>
        <v>125562.5</v>
      </c>
    </row>
    <row r="95" spans="1:4" x14ac:dyDescent="0.25">
      <c r="A95" s="20">
        <v>1</v>
      </c>
      <c r="B95" s="20"/>
      <c r="C95" s="23">
        <v>125</v>
      </c>
      <c r="D95" s="23">
        <f>100*20.5*35</f>
        <v>71750</v>
      </c>
    </row>
    <row r="96" spans="1:4" x14ac:dyDescent="0.25">
      <c r="A96" s="20">
        <v>0</v>
      </c>
      <c r="B96" s="20">
        <v>2</v>
      </c>
      <c r="C96" s="23">
        <v>120</v>
      </c>
      <c r="D96" s="23">
        <f>20.5*15*26</f>
        <v>7995</v>
      </c>
    </row>
    <row r="97" spans="1:4" x14ac:dyDescent="0.25">
      <c r="A97" s="20">
        <v>1.5</v>
      </c>
      <c r="B97" s="20"/>
      <c r="C97" s="23">
        <v>82</v>
      </c>
      <c r="D97" s="23">
        <f>27*20.5*57</f>
        <v>31549.5</v>
      </c>
    </row>
    <row r="98" spans="1:4" x14ac:dyDescent="0.25">
      <c r="A98" s="20">
        <v>2.5</v>
      </c>
      <c r="B98" s="20">
        <v>0.5</v>
      </c>
      <c r="C98" s="23">
        <v>200</v>
      </c>
      <c r="D98" s="23">
        <f>(30*2000)+43050</f>
        <v>103050</v>
      </c>
    </row>
    <row r="99" spans="1:4" x14ac:dyDescent="0.25">
      <c r="A99" s="20">
        <v>3</v>
      </c>
      <c r="B99" s="20">
        <v>0</v>
      </c>
      <c r="C99" s="23">
        <v>600</v>
      </c>
      <c r="D99" s="23">
        <f>(30*2500)+68750</f>
        <v>143750</v>
      </c>
    </row>
    <row r="100" spans="1:4" x14ac:dyDescent="0.25">
      <c r="A100" s="20">
        <v>0.5</v>
      </c>
      <c r="B100" s="20">
        <v>0.5</v>
      </c>
      <c r="C100" s="23">
        <v>110</v>
      </c>
      <c r="D100" s="23">
        <v>70000</v>
      </c>
    </row>
    <row r="101" spans="1:4" x14ac:dyDescent="0.25">
      <c r="A101" s="20">
        <v>2</v>
      </c>
      <c r="B101" s="20">
        <v>1</v>
      </c>
      <c r="C101" s="23">
        <v>150</v>
      </c>
      <c r="D101" s="23">
        <f>30*100*20.5</f>
        <v>61500</v>
      </c>
    </row>
    <row r="102" spans="1:4" x14ac:dyDescent="0.25">
      <c r="A102" s="20">
        <v>0.75</v>
      </c>
      <c r="B102" s="20">
        <v>2.25</v>
      </c>
      <c r="C102" s="23">
        <v>80</v>
      </c>
      <c r="D102" s="23">
        <v>0</v>
      </c>
    </row>
    <row r="103" spans="1:4" x14ac:dyDescent="0.25">
      <c r="A103" s="20">
        <v>1.5</v>
      </c>
      <c r="B103" s="20">
        <v>0</v>
      </c>
      <c r="C103" s="23">
        <v>160</v>
      </c>
      <c r="D103" s="23">
        <f>2300*27</f>
        <v>62100</v>
      </c>
    </row>
    <row r="104" spans="1:4" x14ac:dyDescent="0.25">
      <c r="A104" s="20">
        <v>1.5</v>
      </c>
      <c r="B104" s="20">
        <v>0</v>
      </c>
      <c r="C104" s="23">
        <v>350</v>
      </c>
      <c r="D104" s="23">
        <v>150000</v>
      </c>
    </row>
    <row r="105" spans="1:4" x14ac:dyDescent="0.25">
      <c r="A105" s="20">
        <v>0</v>
      </c>
      <c r="B105" s="20">
        <v>1</v>
      </c>
      <c r="C105" s="23">
        <v>110</v>
      </c>
      <c r="D105" s="23">
        <f>35*20.5*60</f>
        <v>43050</v>
      </c>
    </row>
    <row r="106" spans="1:4" x14ac:dyDescent="0.25">
      <c r="A106" s="20">
        <v>1</v>
      </c>
      <c r="B106" s="20">
        <v>2</v>
      </c>
      <c r="C106" s="23">
        <v>100</v>
      </c>
      <c r="D106" s="23">
        <v>30000</v>
      </c>
    </row>
    <row r="107" spans="1:4" x14ac:dyDescent="0.25">
      <c r="A107" s="20">
        <v>3.5</v>
      </c>
      <c r="B107" s="20"/>
      <c r="C107" s="23">
        <v>480</v>
      </c>
      <c r="D107" s="23">
        <v>88500</v>
      </c>
    </row>
    <row r="108" spans="1:4" x14ac:dyDescent="0.25">
      <c r="A108" s="20">
        <v>3</v>
      </c>
      <c r="B108" s="20"/>
      <c r="C108" s="23">
        <v>300</v>
      </c>
      <c r="D108" s="23">
        <v>128250</v>
      </c>
    </row>
    <row r="109" spans="1:4" x14ac:dyDescent="0.25">
      <c r="A109" s="20">
        <v>3</v>
      </c>
      <c r="B109" s="20"/>
      <c r="C109" s="23">
        <v>200</v>
      </c>
      <c r="D109" s="23">
        <v>113400</v>
      </c>
    </row>
    <row r="110" spans="1:4" x14ac:dyDescent="0.25">
      <c r="A110" s="20"/>
      <c r="B110" s="20"/>
      <c r="C110" s="23"/>
      <c r="D110" s="23"/>
    </row>
    <row r="111" spans="1:4" x14ac:dyDescent="0.25">
      <c r="A111" s="20">
        <v>0.5</v>
      </c>
      <c r="B111" s="20"/>
      <c r="C111" s="23">
        <v>50</v>
      </c>
      <c r="D111" s="23">
        <v>12300</v>
      </c>
    </row>
    <row r="112" spans="1:4" x14ac:dyDescent="0.25">
      <c r="A112" s="21">
        <v>2</v>
      </c>
      <c r="B112" s="21"/>
      <c r="C112" s="29">
        <v>175</v>
      </c>
      <c r="D112" s="29">
        <f>52480+14350+35875</f>
        <v>102705</v>
      </c>
    </row>
    <row r="113" spans="1:4" x14ac:dyDescent="0.25">
      <c r="A113" s="22">
        <v>1.25</v>
      </c>
      <c r="B113" s="22"/>
      <c r="C113" s="30">
        <v>150</v>
      </c>
      <c r="D113" s="30">
        <v>82512.5</v>
      </c>
    </row>
    <row r="114" spans="1:4" x14ac:dyDescent="0.25">
      <c r="A114" s="20">
        <v>1</v>
      </c>
      <c r="B114" s="20"/>
      <c r="C114" s="23">
        <v>70</v>
      </c>
      <c r="D114" s="23">
        <f>60*1320</f>
        <v>79200</v>
      </c>
    </row>
    <row r="115" spans="1:4" x14ac:dyDescent="0.25">
      <c r="A115" s="20">
        <v>0.75</v>
      </c>
      <c r="B115" s="20"/>
      <c r="C115" s="23">
        <v>90</v>
      </c>
      <c r="D115" s="23">
        <f>34*700</f>
        <v>23800</v>
      </c>
    </row>
    <row r="116" spans="1:4" x14ac:dyDescent="0.25">
      <c r="A116" s="20">
        <v>0.5</v>
      </c>
      <c r="B116" s="20"/>
      <c r="C116" s="23">
        <v>350</v>
      </c>
      <c r="D116" s="23">
        <f>(28*1500)+45000+107625</f>
        <v>194625</v>
      </c>
    </row>
    <row r="117" spans="1:4" x14ac:dyDescent="0.25">
      <c r="A117" s="20">
        <v>0</v>
      </c>
      <c r="B117" s="20">
        <v>1</v>
      </c>
      <c r="C117" s="23"/>
      <c r="D117" s="23"/>
    </row>
    <row r="118" spans="1:4" x14ac:dyDescent="0.25">
      <c r="A118" s="20">
        <v>0</v>
      </c>
      <c r="B118" s="20">
        <v>1</v>
      </c>
      <c r="C118" s="23"/>
      <c r="D118" s="23"/>
    </row>
    <row r="119" spans="1:4" x14ac:dyDescent="0.25">
      <c r="A119" s="20">
        <v>3</v>
      </c>
      <c r="B119" s="20"/>
      <c r="C119" s="23">
        <v>35</v>
      </c>
      <c r="D119" s="23">
        <v>0</v>
      </c>
    </row>
    <row r="120" spans="1:4" x14ac:dyDescent="0.25">
      <c r="A120" s="20">
        <v>1</v>
      </c>
      <c r="B120" s="20"/>
      <c r="C120" s="23">
        <v>110</v>
      </c>
      <c r="D120" s="23">
        <f>(27*825)+17820</f>
        <v>40095</v>
      </c>
    </row>
    <row r="121" spans="1:4" x14ac:dyDescent="0.25">
      <c r="A121" s="20">
        <v>1.5</v>
      </c>
      <c r="B121" s="20">
        <v>0.5</v>
      </c>
      <c r="C121" s="23">
        <v>150</v>
      </c>
      <c r="D121" s="23">
        <f>30*20.5*100</f>
        <v>61500</v>
      </c>
    </row>
    <row r="122" spans="1:4" x14ac:dyDescent="0.25">
      <c r="A122" s="20">
        <v>1</v>
      </c>
      <c r="B122" s="20">
        <v>2</v>
      </c>
      <c r="C122" s="23">
        <v>100</v>
      </c>
      <c r="D122" s="23">
        <f>35*1100</f>
        <v>38500</v>
      </c>
    </row>
    <row r="123" spans="1:4" x14ac:dyDescent="0.25">
      <c r="A123" s="20">
        <v>1</v>
      </c>
      <c r="B123" s="20"/>
      <c r="C123" s="23">
        <v>75</v>
      </c>
      <c r="D123" s="23">
        <f>43*1430</f>
        <v>61490</v>
      </c>
    </row>
    <row r="124" spans="1:4" x14ac:dyDescent="0.25">
      <c r="A124" s="20">
        <v>1</v>
      </c>
      <c r="B124" s="20"/>
      <c r="C124" s="23">
        <v>80</v>
      </c>
      <c r="D124" s="23">
        <f>41*1320</f>
        <v>54120</v>
      </c>
    </row>
    <row r="125" spans="1:4" x14ac:dyDescent="0.25">
      <c r="A125" s="20">
        <v>3</v>
      </c>
      <c r="B125" s="20"/>
      <c r="C125" s="23">
        <v>250</v>
      </c>
      <c r="D125" s="23">
        <f>30*3850</f>
        <v>115500</v>
      </c>
    </row>
    <row r="126" spans="1:4" x14ac:dyDescent="0.25">
      <c r="A126" s="20">
        <v>1</v>
      </c>
      <c r="B126" s="20">
        <v>0</v>
      </c>
      <c r="C126" s="23">
        <v>100</v>
      </c>
      <c r="D126" s="23">
        <f>(30*25*20.5)+30750</f>
        <v>46125</v>
      </c>
    </row>
    <row r="127" spans="1:4" x14ac:dyDescent="0.25">
      <c r="A127" s="20">
        <v>0.5</v>
      </c>
      <c r="B127" s="20">
        <v>0.75</v>
      </c>
      <c r="C127" s="23">
        <v>70</v>
      </c>
      <c r="D127" s="23">
        <v>0</v>
      </c>
    </row>
    <row r="128" spans="1:4" x14ac:dyDescent="0.25">
      <c r="A128" s="20">
        <v>1</v>
      </c>
      <c r="B128" s="20"/>
      <c r="C128" s="23">
        <v>72</v>
      </c>
      <c r="D128" s="23">
        <f>45*1364</f>
        <v>61380</v>
      </c>
    </row>
    <row r="129" spans="1:4" x14ac:dyDescent="0.25">
      <c r="A129" s="20">
        <v>3.5</v>
      </c>
      <c r="B129" s="20"/>
      <c r="C129" s="23">
        <v>400</v>
      </c>
      <c r="D129" s="23">
        <f>35*7000</f>
        <v>245000</v>
      </c>
    </row>
    <row r="130" spans="1:4" x14ac:dyDescent="0.25">
      <c r="A130" s="20">
        <v>1.5</v>
      </c>
      <c r="B130" s="20">
        <v>1.5</v>
      </c>
      <c r="C130" s="23">
        <v>200</v>
      </c>
      <c r="D130" s="23">
        <f>32*2000</f>
        <v>64000</v>
      </c>
    </row>
    <row r="131" spans="1:4" x14ac:dyDescent="0.25">
      <c r="A131" s="20">
        <v>3</v>
      </c>
      <c r="B131" s="20"/>
      <c r="C131" s="23">
        <v>350</v>
      </c>
      <c r="D131" s="23">
        <f>32*4500</f>
        <v>144000</v>
      </c>
    </row>
    <row r="132" spans="1:4" x14ac:dyDescent="0.25">
      <c r="A132" s="20">
        <v>3</v>
      </c>
      <c r="B132" s="20"/>
      <c r="C132" s="23">
        <v>350</v>
      </c>
      <c r="D132" s="23">
        <f>33*6000</f>
        <v>198000</v>
      </c>
    </row>
    <row r="133" spans="1:4" x14ac:dyDescent="0.25">
      <c r="A133" s="20">
        <v>1</v>
      </c>
      <c r="B133" s="20"/>
      <c r="C133" s="23">
        <v>100</v>
      </c>
      <c r="D133" s="23">
        <f>30*45*20.5</f>
        <v>27675</v>
      </c>
    </row>
    <row r="134" spans="1:4" x14ac:dyDescent="0.25">
      <c r="A134" s="20">
        <v>1</v>
      </c>
      <c r="B134" s="20">
        <v>1</v>
      </c>
      <c r="C134" s="23">
        <v>120</v>
      </c>
      <c r="D134" s="23">
        <f>30*1650</f>
        <v>49500</v>
      </c>
    </row>
    <row r="135" spans="1:4" x14ac:dyDescent="0.25">
      <c r="A135" s="20">
        <v>1</v>
      </c>
      <c r="B135" s="20"/>
      <c r="C135" s="23">
        <v>96</v>
      </c>
      <c r="D135" s="23">
        <f>32*792</f>
        <v>25344</v>
      </c>
    </row>
    <row r="136" spans="1:4" x14ac:dyDescent="0.25">
      <c r="A136" s="20">
        <v>1</v>
      </c>
      <c r="B136" s="20"/>
      <c r="C136" s="23">
        <v>80</v>
      </c>
      <c r="D136" s="23">
        <f>30*400</f>
        <v>12000</v>
      </c>
    </row>
    <row r="137" spans="1:4" x14ac:dyDescent="0.25">
      <c r="A137" s="21">
        <v>3</v>
      </c>
      <c r="B137" s="21"/>
      <c r="C137" s="29">
        <v>300</v>
      </c>
      <c r="D137" s="29">
        <f>33*4400</f>
        <v>145200</v>
      </c>
    </row>
    <row r="138" spans="1:4" x14ac:dyDescent="0.25">
      <c r="A138" s="22">
        <v>1.5</v>
      </c>
      <c r="B138" s="22">
        <v>0</v>
      </c>
      <c r="C138" s="30">
        <v>130</v>
      </c>
      <c r="D138" s="30">
        <f>30*130*20.5</f>
        <v>79950</v>
      </c>
    </row>
    <row r="139" spans="1:4" x14ac:dyDescent="0.25">
      <c r="A139" s="20">
        <v>1</v>
      </c>
      <c r="B139" s="20">
        <v>0</v>
      </c>
      <c r="C139" s="23">
        <v>110</v>
      </c>
      <c r="D139" s="23">
        <f>35*185*20.5</f>
        <v>132737.5</v>
      </c>
    </row>
    <row r="140" spans="1:4" x14ac:dyDescent="0.25">
      <c r="A140" s="20">
        <v>1.5</v>
      </c>
      <c r="B140" s="20">
        <v>2</v>
      </c>
      <c r="C140" s="23">
        <v>120</v>
      </c>
      <c r="D140" s="23">
        <f>31*1500</f>
        <v>46500</v>
      </c>
    </row>
    <row r="141" spans="1:4" x14ac:dyDescent="0.25">
      <c r="A141" s="20">
        <v>3</v>
      </c>
      <c r="B141" s="20"/>
      <c r="C141" s="23">
        <v>200</v>
      </c>
      <c r="D141" s="23">
        <f>45*150*20.5</f>
        <v>138375</v>
      </c>
    </row>
    <row r="142" spans="1:4" x14ac:dyDescent="0.25">
      <c r="A142" s="20">
        <v>3</v>
      </c>
      <c r="B142" s="20"/>
      <c r="C142" s="23">
        <v>350</v>
      </c>
      <c r="D142" s="23">
        <f>30*300*20.5</f>
        <v>184500</v>
      </c>
    </row>
    <row r="143" spans="1:4" x14ac:dyDescent="0.25">
      <c r="A143" s="20">
        <v>0.3</v>
      </c>
      <c r="B143" s="20"/>
      <c r="C143" s="23">
        <v>150</v>
      </c>
      <c r="D143" s="23">
        <f>33*2000</f>
        <v>66000</v>
      </c>
    </row>
    <row r="144" spans="1:4" x14ac:dyDescent="0.25">
      <c r="A144" s="20">
        <v>3</v>
      </c>
      <c r="B144" s="20"/>
      <c r="C144" s="23">
        <v>375</v>
      </c>
      <c r="D144" s="23">
        <f>41*315*20.5</f>
        <v>264757.5</v>
      </c>
    </row>
    <row r="145" spans="1:4" x14ac:dyDescent="0.25">
      <c r="A145" s="20">
        <v>2.5</v>
      </c>
      <c r="B145" s="20"/>
      <c r="C145" s="23">
        <f>4018/20.5</f>
        <v>196</v>
      </c>
      <c r="D145" s="23">
        <f>146*1650</f>
        <v>240900</v>
      </c>
    </row>
    <row r="146" spans="1:4" x14ac:dyDescent="0.25">
      <c r="A146" s="20">
        <v>2.5</v>
      </c>
      <c r="B146" s="20"/>
      <c r="C146" s="23">
        <v>78</v>
      </c>
      <c r="D146" s="23">
        <f>60000</f>
        <v>60000</v>
      </c>
    </row>
    <row r="147" spans="1:4" x14ac:dyDescent="0.25">
      <c r="A147" s="21">
        <v>0</v>
      </c>
      <c r="B147" s="21">
        <v>1</v>
      </c>
      <c r="C147" s="29"/>
      <c r="D147" s="29"/>
    </row>
    <row r="148" spans="1:4" x14ac:dyDescent="0.25">
      <c r="A148" s="22">
        <v>0</v>
      </c>
      <c r="B148" s="22">
        <v>1</v>
      </c>
      <c r="C148" s="30"/>
      <c r="D148" s="30"/>
    </row>
    <row r="149" spans="1:4" x14ac:dyDescent="0.25">
      <c r="A149" s="20">
        <v>0</v>
      </c>
      <c r="B149" s="20">
        <v>1.5</v>
      </c>
      <c r="C149" s="23"/>
      <c r="D149" s="23"/>
    </row>
    <row r="150" spans="1:4" x14ac:dyDescent="0.25">
      <c r="A150" s="20">
        <v>1.5</v>
      </c>
      <c r="B150" s="20"/>
      <c r="C150" s="23">
        <v>45</v>
      </c>
      <c r="D150" s="23">
        <v>0</v>
      </c>
    </row>
    <row r="151" spans="1:4" x14ac:dyDescent="0.25">
      <c r="A151" s="20">
        <v>1.5</v>
      </c>
      <c r="B151" s="20"/>
      <c r="C151" s="23">
        <v>40</v>
      </c>
      <c r="D151" s="23">
        <f>27*440</f>
        <v>11880</v>
      </c>
    </row>
    <row r="152" spans="1:4" x14ac:dyDescent="0.25">
      <c r="A152" s="20">
        <v>2</v>
      </c>
      <c r="B152" s="20">
        <v>1</v>
      </c>
      <c r="C152" s="23">
        <v>100</v>
      </c>
      <c r="D152" s="23">
        <f>30*2200</f>
        <v>66000</v>
      </c>
    </row>
    <row r="153" spans="1:4" x14ac:dyDescent="0.25">
      <c r="A153" s="20">
        <v>0.5</v>
      </c>
      <c r="B153" s="20">
        <v>1</v>
      </c>
      <c r="C153" s="23">
        <v>40</v>
      </c>
      <c r="D153" s="23">
        <v>0</v>
      </c>
    </row>
    <row r="154" spans="1:4" x14ac:dyDescent="0.25">
      <c r="A154" s="20">
        <v>1.5</v>
      </c>
      <c r="B154" s="20"/>
      <c r="C154" s="23">
        <v>60</v>
      </c>
      <c r="D154" s="23">
        <f>28*1100</f>
        <v>30800</v>
      </c>
    </row>
    <row r="155" spans="1:4" x14ac:dyDescent="0.25">
      <c r="A155" s="20">
        <v>3</v>
      </c>
      <c r="B155" s="20"/>
      <c r="C155" s="23">
        <v>120</v>
      </c>
      <c r="D155" s="23">
        <f>29*2640*3</f>
        <v>229680</v>
      </c>
    </row>
    <row r="156" spans="1:4" x14ac:dyDescent="0.25">
      <c r="A156" s="20">
        <v>1</v>
      </c>
      <c r="B156" s="20"/>
      <c r="C156" s="23"/>
      <c r="D156" s="23"/>
    </row>
    <row r="157" spans="1:4" x14ac:dyDescent="0.25">
      <c r="A157" s="20">
        <v>0.5</v>
      </c>
      <c r="B157" s="20"/>
      <c r="C157" s="23">
        <v>100</v>
      </c>
      <c r="D157" s="23">
        <f>40*1650</f>
        <v>66000</v>
      </c>
    </row>
    <row r="158" spans="1:4" x14ac:dyDescent="0.25">
      <c r="A158" s="20">
        <v>0</v>
      </c>
      <c r="B158" s="20">
        <v>2</v>
      </c>
      <c r="C158" s="23"/>
      <c r="D158" s="23"/>
    </row>
    <row r="159" spans="1:4" x14ac:dyDescent="0.25">
      <c r="A159" s="20">
        <v>1.25</v>
      </c>
      <c r="B159" s="20"/>
      <c r="C159" s="23">
        <v>30</v>
      </c>
      <c r="D159" s="23">
        <v>0</v>
      </c>
    </row>
    <row r="160" spans="1:4" x14ac:dyDescent="0.25">
      <c r="A160" s="20">
        <v>0.5</v>
      </c>
      <c r="B160" s="20">
        <v>0.5</v>
      </c>
      <c r="C160" s="23">
        <v>20</v>
      </c>
      <c r="D160" s="23">
        <v>0</v>
      </c>
    </row>
    <row r="161" spans="1:4" x14ac:dyDescent="0.25">
      <c r="A161" s="20">
        <v>1.5</v>
      </c>
      <c r="B161" s="20"/>
      <c r="C161" s="23">
        <v>100</v>
      </c>
      <c r="D161" s="23">
        <f>40*1100</f>
        <v>44000</v>
      </c>
    </row>
    <row r="162" spans="1:4" x14ac:dyDescent="0.25">
      <c r="A162" s="20">
        <v>0</v>
      </c>
      <c r="B162" s="20">
        <v>0.5</v>
      </c>
      <c r="C162" s="23"/>
      <c r="D162" s="23"/>
    </row>
    <row r="163" spans="1:4" x14ac:dyDescent="0.25">
      <c r="A163" s="21">
        <v>3</v>
      </c>
      <c r="B163" s="21"/>
      <c r="C163" s="29">
        <v>160</v>
      </c>
      <c r="D163" s="29">
        <f>30*2200</f>
        <v>66000</v>
      </c>
    </row>
    <row r="164" spans="1:4" x14ac:dyDescent="0.25">
      <c r="A164" s="22">
        <v>1.5</v>
      </c>
      <c r="B164" s="22">
        <v>1.5</v>
      </c>
      <c r="C164" s="30">
        <v>100</v>
      </c>
      <c r="D164" s="30">
        <f>35*50*20.5</f>
        <v>35875</v>
      </c>
    </row>
    <row r="165" spans="1:4" x14ac:dyDescent="0.25">
      <c r="A165" s="20">
        <v>1</v>
      </c>
      <c r="B165" s="20">
        <v>0</v>
      </c>
      <c r="C165" s="23">
        <v>100</v>
      </c>
      <c r="D165" s="23">
        <f>36*1540</f>
        <v>55440</v>
      </c>
    </row>
    <row r="166" spans="1:4" x14ac:dyDescent="0.25">
      <c r="A166" s="20">
        <v>3</v>
      </c>
      <c r="B166" s="20"/>
      <c r="C166" s="23">
        <v>175</v>
      </c>
      <c r="D166" s="23">
        <f>42*1870</f>
        <v>78540</v>
      </c>
    </row>
    <row r="167" spans="1:4" x14ac:dyDescent="0.25">
      <c r="A167" s="20">
        <v>0.25</v>
      </c>
      <c r="B167" s="20">
        <v>1</v>
      </c>
      <c r="C167" s="23">
        <v>12</v>
      </c>
      <c r="D167" s="23">
        <v>0</v>
      </c>
    </row>
    <row r="168" spans="1:4" x14ac:dyDescent="0.25">
      <c r="A168" s="20">
        <v>0.5</v>
      </c>
      <c r="B168" s="20">
        <v>0</v>
      </c>
      <c r="C168" s="23">
        <v>30</v>
      </c>
      <c r="D168" s="23">
        <v>0</v>
      </c>
    </row>
    <row r="169" spans="1:4" x14ac:dyDescent="0.25">
      <c r="A169" s="20">
        <v>3</v>
      </c>
      <c r="B169" s="20"/>
      <c r="C169" s="23">
        <v>180</v>
      </c>
      <c r="D169" s="23">
        <f>40*3960</f>
        <v>158400</v>
      </c>
    </row>
    <row r="170" spans="1:4" x14ac:dyDescent="0.25">
      <c r="A170" s="20">
        <v>1</v>
      </c>
      <c r="B170" s="20"/>
      <c r="C170" s="23">
        <v>100</v>
      </c>
      <c r="D170" s="23">
        <f>46*1210</f>
        <v>55660</v>
      </c>
    </row>
    <row r="171" spans="1:4" x14ac:dyDescent="0.25">
      <c r="A171" s="20">
        <v>4</v>
      </c>
      <c r="B171" s="20"/>
      <c r="C171" s="23">
        <v>350</v>
      </c>
      <c r="D171" s="23">
        <f>42*7150</f>
        <v>300300</v>
      </c>
    </row>
    <row r="172" spans="1:4" x14ac:dyDescent="0.25">
      <c r="A172" s="20">
        <v>2.5</v>
      </c>
      <c r="B172" s="20"/>
      <c r="C172" s="23">
        <v>150</v>
      </c>
      <c r="D172" s="23">
        <f>41*2640</f>
        <v>108240</v>
      </c>
    </row>
    <row r="173" spans="1:4" x14ac:dyDescent="0.25">
      <c r="A173" s="20">
        <v>0.75</v>
      </c>
      <c r="B173" s="20"/>
      <c r="C173" s="23">
        <v>60</v>
      </c>
      <c r="D173" s="23">
        <f>30*990</f>
        <v>29700</v>
      </c>
    </row>
    <row r="174" spans="1:4" x14ac:dyDescent="0.25">
      <c r="A174" s="20">
        <v>2</v>
      </c>
      <c r="B174" s="20">
        <v>1</v>
      </c>
      <c r="C174" s="23">
        <v>200</v>
      </c>
      <c r="D174" s="23">
        <f>42*110*20.5</f>
        <v>94710</v>
      </c>
    </row>
    <row r="175" spans="1:4" x14ac:dyDescent="0.25">
      <c r="A175" s="20">
        <v>0.5</v>
      </c>
      <c r="B175" s="20">
        <v>1</v>
      </c>
      <c r="C175" s="23">
        <v>25</v>
      </c>
      <c r="D175" s="23">
        <v>0</v>
      </c>
    </row>
    <row r="176" spans="1:4" x14ac:dyDescent="0.25">
      <c r="A176" s="20">
        <v>1.5</v>
      </c>
      <c r="B176" s="20">
        <v>0.75</v>
      </c>
      <c r="C176" s="23">
        <v>175</v>
      </c>
      <c r="D176" s="23">
        <f>45*2750</f>
        <v>123750</v>
      </c>
    </row>
    <row r="177" spans="1:4" x14ac:dyDescent="0.25">
      <c r="A177" s="20">
        <v>2</v>
      </c>
      <c r="B177" s="20">
        <v>0</v>
      </c>
      <c r="C177" s="23">
        <v>150</v>
      </c>
      <c r="D177" s="23">
        <f>40*2200</f>
        <v>88000</v>
      </c>
    </row>
    <row r="178" spans="1:4" x14ac:dyDescent="0.25">
      <c r="A178" s="20">
        <v>0.5</v>
      </c>
      <c r="B178" s="20">
        <v>1</v>
      </c>
      <c r="C178" s="23">
        <v>40</v>
      </c>
      <c r="D178" s="23">
        <v>0</v>
      </c>
    </row>
    <row r="179" spans="1:4" x14ac:dyDescent="0.25">
      <c r="A179" s="20">
        <v>0.5</v>
      </c>
      <c r="B179" s="20">
        <v>1</v>
      </c>
      <c r="C179" s="23">
        <v>8</v>
      </c>
      <c r="D179" s="23">
        <v>0</v>
      </c>
    </row>
    <row r="180" spans="1:4" x14ac:dyDescent="0.25">
      <c r="A180" s="20">
        <v>3</v>
      </c>
      <c r="B180" s="20"/>
      <c r="C180" s="23">
        <v>300</v>
      </c>
      <c r="D180" s="23">
        <f>45*250*20.5</f>
        <v>230625</v>
      </c>
    </row>
    <row r="181" spans="1:4" x14ac:dyDescent="0.25">
      <c r="A181" s="20">
        <v>0</v>
      </c>
      <c r="B181" s="20">
        <v>1.5</v>
      </c>
      <c r="C181" s="23"/>
      <c r="D181" s="23"/>
    </row>
    <row r="182" spans="1:4" x14ac:dyDescent="0.25">
      <c r="A182" s="21">
        <v>0</v>
      </c>
      <c r="B182" s="21">
        <v>0</v>
      </c>
      <c r="C182" s="29"/>
      <c r="D182" s="29"/>
    </row>
    <row r="183" spans="1:4" x14ac:dyDescent="0.25">
      <c r="A183" s="22">
        <v>0.5</v>
      </c>
      <c r="B183" s="22">
        <v>1</v>
      </c>
      <c r="C183" s="30">
        <v>25</v>
      </c>
      <c r="D183" s="30">
        <v>0</v>
      </c>
    </row>
    <row r="184" spans="1:4" x14ac:dyDescent="0.25">
      <c r="A184" s="20">
        <v>3</v>
      </c>
      <c r="B184" s="20"/>
      <c r="C184" s="23">
        <v>290</v>
      </c>
      <c r="D184" s="23">
        <f>42*5720</f>
        <v>240240</v>
      </c>
    </row>
    <row r="185" spans="1:4" x14ac:dyDescent="0.25">
      <c r="A185" s="20">
        <v>3</v>
      </c>
      <c r="B185" s="20"/>
      <c r="C185" s="23">
        <v>320</v>
      </c>
      <c r="D185" s="23">
        <f>30*5830</f>
        <v>174900</v>
      </c>
    </row>
    <row r="186" spans="1:4" x14ac:dyDescent="0.25">
      <c r="A186" s="20">
        <v>0.5</v>
      </c>
      <c r="B186" s="20">
        <v>0</v>
      </c>
      <c r="C186" s="23">
        <v>205</v>
      </c>
      <c r="D186" s="23">
        <f>(31*2500)+102500</f>
        <v>180000</v>
      </c>
    </row>
    <row r="187" spans="1:4" x14ac:dyDescent="0.25">
      <c r="A187" s="20">
        <v>1.5</v>
      </c>
      <c r="B187" s="20">
        <v>3</v>
      </c>
      <c r="C187" s="23">
        <v>125</v>
      </c>
      <c r="D187" s="23">
        <f>34*2000</f>
        <v>68000</v>
      </c>
    </row>
    <row r="188" spans="1:4" x14ac:dyDescent="0.25">
      <c r="A188" s="20">
        <v>1.25</v>
      </c>
      <c r="B188" s="20"/>
      <c r="C188" s="23">
        <v>130</v>
      </c>
      <c r="D188" s="23">
        <f>29*100*20.5</f>
        <v>59450</v>
      </c>
    </row>
    <row r="189" spans="1:4" x14ac:dyDescent="0.25">
      <c r="A189" s="20">
        <v>0.75</v>
      </c>
      <c r="B189" s="20">
        <v>0.75</v>
      </c>
      <c r="C189" s="23">
        <v>70</v>
      </c>
      <c r="D189" s="23">
        <f>32*1100</f>
        <v>35200</v>
      </c>
    </row>
    <row r="190" spans="1:4" x14ac:dyDescent="0.25">
      <c r="A190" s="20">
        <v>0</v>
      </c>
      <c r="B190" s="20">
        <v>1.5</v>
      </c>
      <c r="C190" s="23"/>
      <c r="D190" s="23"/>
    </row>
    <row r="191" spans="1:4" x14ac:dyDescent="0.25">
      <c r="A191" s="20">
        <v>0</v>
      </c>
      <c r="B191" s="20">
        <v>0</v>
      </c>
      <c r="C191" s="23"/>
      <c r="D191" s="23"/>
    </row>
    <row r="192" spans="1:4" x14ac:dyDescent="0.25">
      <c r="A192" s="20">
        <v>0</v>
      </c>
      <c r="B192" s="20">
        <v>0.5</v>
      </c>
      <c r="C192" s="23"/>
      <c r="D192" s="23"/>
    </row>
    <row r="193" spans="1:4" x14ac:dyDescent="0.25">
      <c r="A193" s="21">
        <v>0</v>
      </c>
      <c r="B193" s="21">
        <v>0.25</v>
      </c>
      <c r="C193" s="29"/>
      <c r="D193" s="29"/>
    </row>
    <row r="194" spans="1:4" x14ac:dyDescent="0.25">
      <c r="A194" s="22">
        <v>0.5</v>
      </c>
      <c r="B194" s="22">
        <v>1</v>
      </c>
      <c r="C194" s="30">
        <v>50</v>
      </c>
      <c r="D194" s="30">
        <f>35*550</f>
        <v>19250</v>
      </c>
    </row>
    <row r="195" spans="1:4" x14ac:dyDescent="0.25">
      <c r="A195" s="20">
        <v>1.5</v>
      </c>
      <c r="B195" s="20"/>
      <c r="C195" s="23">
        <v>90</v>
      </c>
      <c r="D195" s="23">
        <f>34*1760</f>
        <v>59840</v>
      </c>
    </row>
    <row r="196" spans="1:4" x14ac:dyDescent="0.25">
      <c r="A196" s="20">
        <v>1.5</v>
      </c>
      <c r="B196" s="20"/>
      <c r="C196" s="23">
        <v>60</v>
      </c>
      <c r="D196" s="23">
        <f>32*660</f>
        <v>21120</v>
      </c>
    </row>
    <row r="197" spans="1:4" x14ac:dyDescent="0.25">
      <c r="A197" s="20">
        <v>0.5</v>
      </c>
      <c r="B197" s="20"/>
      <c r="C197" s="23">
        <v>35</v>
      </c>
      <c r="D197" s="23">
        <f>28*330</f>
        <v>9240</v>
      </c>
    </row>
    <row r="198" spans="1:4" x14ac:dyDescent="0.25">
      <c r="A198" s="20">
        <v>2.5</v>
      </c>
      <c r="B198" s="20"/>
      <c r="C198" s="23">
        <v>150</v>
      </c>
      <c r="D198" s="23">
        <f>30*2200</f>
        <v>66000</v>
      </c>
    </row>
    <row r="199" spans="1:4" x14ac:dyDescent="0.25">
      <c r="A199" s="20">
        <v>1.75</v>
      </c>
      <c r="B199" s="20"/>
      <c r="C199" s="23">
        <v>115</v>
      </c>
      <c r="D199" s="23">
        <f>(29*330)+53812.5</f>
        <v>63382.5</v>
      </c>
    </row>
    <row r="200" spans="1:4" x14ac:dyDescent="0.25">
      <c r="A200" s="20">
        <v>2.5</v>
      </c>
      <c r="B200" s="20"/>
      <c r="C200" s="23">
        <v>300</v>
      </c>
      <c r="D200" s="23">
        <f>32*5720</f>
        <v>183040</v>
      </c>
    </row>
    <row r="201" spans="1:4" x14ac:dyDescent="0.25">
      <c r="A201" s="20">
        <v>3</v>
      </c>
      <c r="B201" s="20"/>
      <c r="C201" s="23">
        <v>325</v>
      </c>
      <c r="D201" s="23">
        <f>31*6600</f>
        <v>204600</v>
      </c>
    </row>
    <row r="202" spans="1:4" x14ac:dyDescent="0.25">
      <c r="A202" s="20">
        <v>2</v>
      </c>
      <c r="B202" s="20"/>
      <c r="C202" s="23">
        <v>200</v>
      </c>
      <c r="D202" s="23">
        <f>27*3850</f>
        <v>103950</v>
      </c>
    </row>
    <row r="203" spans="1:4" x14ac:dyDescent="0.25">
      <c r="A203" s="20">
        <v>3</v>
      </c>
      <c r="B203" s="20"/>
      <c r="C203" s="23">
        <v>225</v>
      </c>
      <c r="D203" s="23">
        <f>26*4070</f>
        <v>105820</v>
      </c>
    </row>
    <row r="204" spans="1:4" x14ac:dyDescent="0.25">
      <c r="A204" s="20">
        <v>3</v>
      </c>
      <c r="B204" s="20"/>
      <c r="C204" s="23">
        <v>150</v>
      </c>
      <c r="D204" s="23">
        <f>35*2640</f>
        <v>92400</v>
      </c>
    </row>
    <row r="205" spans="1:4" x14ac:dyDescent="0.25">
      <c r="A205" s="20">
        <v>0.5</v>
      </c>
      <c r="B205" s="20"/>
      <c r="C205" s="23">
        <v>35</v>
      </c>
      <c r="D205" s="23">
        <v>0</v>
      </c>
    </row>
    <row r="206" spans="1:4" x14ac:dyDescent="0.25">
      <c r="A206" s="20">
        <v>0</v>
      </c>
      <c r="B206" s="20">
        <v>0.5</v>
      </c>
      <c r="C206" s="23"/>
      <c r="D206" s="23"/>
    </row>
    <row r="207" spans="1:4" x14ac:dyDescent="0.25">
      <c r="A207" s="21">
        <v>0</v>
      </c>
      <c r="B207" s="21">
        <v>1</v>
      </c>
      <c r="C207" s="29"/>
      <c r="D207" s="29"/>
    </row>
    <row r="208" spans="1:4" x14ac:dyDescent="0.25">
      <c r="A208" s="22">
        <v>0.5</v>
      </c>
      <c r="B208" s="22">
        <v>0</v>
      </c>
      <c r="C208" s="30">
        <v>60</v>
      </c>
      <c r="D208" s="30">
        <v>0</v>
      </c>
    </row>
    <row r="209" spans="1:4" x14ac:dyDescent="0.25">
      <c r="A209" s="20">
        <v>1</v>
      </c>
      <c r="B209" s="20">
        <v>2</v>
      </c>
      <c r="C209" s="23">
        <v>80</v>
      </c>
      <c r="D209" s="23">
        <v>30000</v>
      </c>
    </row>
    <row r="210" spans="1:4" x14ac:dyDescent="0.25">
      <c r="A210" s="20">
        <v>1.5</v>
      </c>
      <c r="B210" s="20">
        <v>0</v>
      </c>
      <c r="C210" s="23">
        <v>130</v>
      </c>
      <c r="D210" s="23">
        <f>1350*20.5</f>
        <v>27675</v>
      </c>
    </row>
    <row r="211" spans="1:4" x14ac:dyDescent="0.25">
      <c r="A211" s="20">
        <v>1.5</v>
      </c>
      <c r="B211" s="20">
        <v>0</v>
      </c>
      <c r="C211" s="23">
        <v>125</v>
      </c>
      <c r="D211" s="23">
        <f>29*2200</f>
        <v>63800</v>
      </c>
    </row>
    <row r="212" spans="1:4" x14ac:dyDescent="0.25">
      <c r="A212" s="20">
        <v>0.75</v>
      </c>
      <c r="B212" s="20">
        <v>0</v>
      </c>
      <c r="C212" s="23">
        <v>50</v>
      </c>
      <c r="D212" s="23">
        <f>30*770</f>
        <v>23100</v>
      </c>
    </row>
    <row r="213" spans="1:4" x14ac:dyDescent="0.25">
      <c r="A213" s="20">
        <v>2.5</v>
      </c>
      <c r="B213" s="20">
        <v>0.5</v>
      </c>
      <c r="C213" s="23">
        <v>80</v>
      </c>
      <c r="D213" s="23">
        <f>30*1100</f>
        <v>33000</v>
      </c>
    </row>
    <row r="214" spans="1:4" x14ac:dyDescent="0.25">
      <c r="A214" s="20">
        <v>2</v>
      </c>
      <c r="B214" s="20">
        <v>0</v>
      </c>
      <c r="C214" s="23">
        <v>70</v>
      </c>
      <c r="D214" s="23">
        <f>30*1100</f>
        <v>33000</v>
      </c>
    </row>
    <row r="215" spans="1:4" x14ac:dyDescent="0.25">
      <c r="A215" s="20">
        <v>1</v>
      </c>
      <c r="B215" s="20">
        <v>0</v>
      </c>
      <c r="C215" s="23">
        <v>75</v>
      </c>
      <c r="D215" s="23">
        <f>37*550</f>
        <v>20350</v>
      </c>
    </row>
    <row r="216" spans="1:4" x14ac:dyDescent="0.25">
      <c r="A216" s="20">
        <v>0.25</v>
      </c>
      <c r="B216" s="20"/>
      <c r="C216" s="23">
        <v>30</v>
      </c>
      <c r="D216" s="23">
        <f>35*660</f>
        <v>23100</v>
      </c>
    </row>
    <row r="217" spans="1:4" x14ac:dyDescent="0.25">
      <c r="A217" s="20">
        <v>1.25</v>
      </c>
      <c r="B217" s="20">
        <v>0.75</v>
      </c>
      <c r="C217" s="23">
        <v>150</v>
      </c>
      <c r="D217" s="23">
        <f>(23*40*20.5)+96000</f>
        <v>114860</v>
      </c>
    </row>
    <row r="218" spans="1:4" x14ac:dyDescent="0.25">
      <c r="A218" s="20">
        <v>0</v>
      </c>
      <c r="B218" s="20">
        <v>1</v>
      </c>
      <c r="C218" s="23"/>
      <c r="D218" s="23"/>
    </row>
    <row r="219" spans="1:4" x14ac:dyDescent="0.25">
      <c r="A219" s="20">
        <v>3</v>
      </c>
      <c r="B219" s="20"/>
      <c r="C219" s="23">
        <v>400</v>
      </c>
      <c r="D219" s="23">
        <f>30*7480</f>
        <v>224400</v>
      </c>
    </row>
    <row r="220" spans="1:4" x14ac:dyDescent="0.25">
      <c r="A220" s="20">
        <v>2</v>
      </c>
      <c r="B220" s="20"/>
      <c r="C220" s="23">
        <v>200</v>
      </c>
      <c r="D220" s="23">
        <f>29*3520</f>
        <v>102080</v>
      </c>
    </row>
    <row r="221" spans="1:4" x14ac:dyDescent="0.25">
      <c r="A221" s="20">
        <v>3</v>
      </c>
      <c r="B221" s="20"/>
      <c r="C221" s="23">
        <v>250</v>
      </c>
      <c r="D221" s="23">
        <f>28*4400</f>
        <v>123200</v>
      </c>
    </row>
    <row r="222" spans="1:4" x14ac:dyDescent="0.25">
      <c r="A222" s="20">
        <v>0.5</v>
      </c>
      <c r="B222" s="20">
        <v>1</v>
      </c>
      <c r="C222" s="23">
        <v>30</v>
      </c>
      <c r="D222" s="23">
        <v>0</v>
      </c>
    </row>
    <row r="223" spans="1:4" x14ac:dyDescent="0.25">
      <c r="A223" s="20">
        <v>1</v>
      </c>
      <c r="B223" s="20"/>
      <c r="C223" s="23">
        <v>100</v>
      </c>
      <c r="D223" s="23">
        <f>29*1760</f>
        <v>51040</v>
      </c>
    </row>
    <row r="224" spans="1:4" x14ac:dyDescent="0.25">
      <c r="A224" s="20">
        <v>3</v>
      </c>
      <c r="B224" s="20"/>
      <c r="C224" s="23">
        <v>200</v>
      </c>
      <c r="D224" s="23">
        <f>31*3520</f>
        <v>109120</v>
      </c>
    </row>
    <row r="225" spans="1:4" x14ac:dyDescent="0.25">
      <c r="A225" s="20">
        <v>1.5</v>
      </c>
      <c r="B225" s="20">
        <v>1</v>
      </c>
      <c r="C225" s="23">
        <v>150</v>
      </c>
      <c r="D225" s="23">
        <f>26.5*2100</f>
        <v>55650</v>
      </c>
    </row>
    <row r="226" spans="1:4" x14ac:dyDescent="0.25">
      <c r="A226" s="20">
        <v>2</v>
      </c>
      <c r="B226" s="20">
        <v>1</v>
      </c>
      <c r="C226" s="23">
        <v>150</v>
      </c>
      <c r="D226" s="23">
        <f>36*2728</f>
        <v>98208</v>
      </c>
    </row>
    <row r="227" spans="1:4" x14ac:dyDescent="0.25">
      <c r="A227" s="20">
        <v>2.5</v>
      </c>
      <c r="B227" s="20"/>
      <c r="C227" s="23">
        <v>250</v>
      </c>
      <c r="D227" s="23">
        <f>27.5*4620</f>
        <v>127050</v>
      </c>
    </row>
    <row r="228" spans="1:4" x14ac:dyDescent="0.25">
      <c r="A228" s="20">
        <v>2</v>
      </c>
      <c r="B228" s="20"/>
      <c r="C228" s="23">
        <v>60</v>
      </c>
      <c r="D228" s="23">
        <f>50*220</f>
        <v>11000</v>
      </c>
    </row>
    <row r="229" spans="1:4" x14ac:dyDescent="0.25">
      <c r="A229" s="20">
        <v>3</v>
      </c>
      <c r="B229" s="20"/>
      <c r="C229" s="23">
        <v>300</v>
      </c>
      <c r="D229" s="23">
        <f>38*5460</f>
        <v>207480</v>
      </c>
    </row>
    <row r="230" spans="1:4" x14ac:dyDescent="0.25">
      <c r="A230" s="20">
        <v>3</v>
      </c>
      <c r="B230" s="20"/>
      <c r="C230" s="23">
        <v>310</v>
      </c>
      <c r="D230" s="23">
        <f>44*4830</f>
        <v>212520</v>
      </c>
    </row>
    <row r="231" spans="1:4" x14ac:dyDescent="0.25">
      <c r="A231" s="20">
        <v>1.5</v>
      </c>
      <c r="B231" s="20"/>
      <c r="C231" s="23">
        <v>120</v>
      </c>
      <c r="D231" s="23">
        <f>70*35*20.5</f>
        <v>50225</v>
      </c>
    </row>
    <row r="232" spans="1:4" x14ac:dyDescent="0.25">
      <c r="A232" s="20">
        <v>2</v>
      </c>
      <c r="B232" s="20"/>
      <c r="C232" s="23">
        <v>200</v>
      </c>
      <c r="D232" s="23">
        <f>31*3285</f>
        <v>101835</v>
      </c>
    </row>
    <row r="233" spans="1:4" x14ac:dyDescent="0.25">
      <c r="A233" s="20">
        <v>3</v>
      </c>
      <c r="B233" s="20"/>
      <c r="C233" s="23">
        <v>195</v>
      </c>
      <c r="D233" s="23">
        <f>38*3190</f>
        <v>121220</v>
      </c>
    </row>
    <row r="234" spans="1:4" x14ac:dyDescent="0.25">
      <c r="A234" s="20">
        <v>1</v>
      </c>
      <c r="B234" s="20"/>
      <c r="C234" s="23">
        <v>100</v>
      </c>
      <c r="D234" s="23">
        <f>26*1680</f>
        <v>43680</v>
      </c>
    </row>
    <row r="235" spans="1:4" x14ac:dyDescent="0.25">
      <c r="A235" s="20">
        <v>1.5</v>
      </c>
      <c r="B235" s="20"/>
      <c r="C235" s="23">
        <v>80</v>
      </c>
      <c r="D235" s="23">
        <f>26*1050</f>
        <v>27300</v>
      </c>
    </row>
    <row r="236" spans="1:4" x14ac:dyDescent="0.25">
      <c r="A236" s="21">
        <v>1</v>
      </c>
      <c r="B236" s="21">
        <v>0</v>
      </c>
      <c r="C236" s="29">
        <v>110</v>
      </c>
      <c r="D236" s="29">
        <f>28*50*20.5</f>
        <v>28700</v>
      </c>
    </row>
    <row r="237" spans="1:4" x14ac:dyDescent="0.25">
      <c r="A237" s="22">
        <v>3</v>
      </c>
      <c r="B237" s="22"/>
      <c r="C237" s="30">
        <v>300</v>
      </c>
      <c r="D237" s="30">
        <f>26*45*2.5*20.5</f>
        <v>59962.5</v>
      </c>
    </row>
    <row r="238" spans="1:4" x14ac:dyDescent="0.25">
      <c r="A238" s="20">
        <v>2.5</v>
      </c>
      <c r="B238" s="20"/>
      <c r="C238" s="23">
        <v>180</v>
      </c>
      <c r="D238" s="23">
        <f>180*20.5*40</f>
        <v>147600</v>
      </c>
    </row>
    <row r="239" spans="1:4" x14ac:dyDescent="0.25">
      <c r="A239" s="20">
        <v>1</v>
      </c>
      <c r="B239" s="20">
        <v>0</v>
      </c>
      <c r="C239" s="23">
        <v>110</v>
      </c>
      <c r="D239" s="23">
        <f>35*1000</f>
        <v>35000</v>
      </c>
    </row>
    <row r="240" spans="1:4" x14ac:dyDescent="0.25">
      <c r="A240" s="20">
        <v>3</v>
      </c>
      <c r="B240" s="20"/>
      <c r="C240" s="23">
        <v>300</v>
      </c>
      <c r="D240" s="23">
        <f>(26*705)+25380+1324300</f>
        <v>1368010</v>
      </c>
    </row>
    <row r="241" spans="1:4" x14ac:dyDescent="0.25">
      <c r="A241" s="20">
        <v>1.5</v>
      </c>
      <c r="B241" s="20"/>
      <c r="C241" s="23">
        <v>120</v>
      </c>
      <c r="D241" s="23">
        <f>30*3500</f>
        <v>105000</v>
      </c>
    </row>
    <row r="242" spans="1:4" x14ac:dyDescent="0.25">
      <c r="A242" s="20">
        <v>3.5</v>
      </c>
      <c r="B242" s="20"/>
      <c r="C242" s="23">
        <f>425+195</f>
        <v>620</v>
      </c>
      <c r="D242" s="23">
        <f>(37*53*3*20.5)+58800+189000</f>
        <v>368401.5</v>
      </c>
    </row>
    <row r="243" spans="1:4" x14ac:dyDescent="0.25">
      <c r="A243" s="20">
        <v>1.5</v>
      </c>
      <c r="B243" s="20"/>
      <c r="C243" s="23">
        <v>250</v>
      </c>
      <c r="D243" s="23">
        <f>27*170*20.5</f>
        <v>94095</v>
      </c>
    </row>
    <row r="244" spans="1:4" x14ac:dyDescent="0.25">
      <c r="A244" s="20">
        <v>1</v>
      </c>
      <c r="B244" s="20">
        <v>0</v>
      </c>
      <c r="C244" s="23">
        <v>225</v>
      </c>
      <c r="D244" s="23">
        <f>4000*31</f>
        <v>124000</v>
      </c>
    </row>
    <row r="245" spans="1:4" x14ac:dyDescent="0.25">
      <c r="A245" s="20">
        <v>1</v>
      </c>
      <c r="B245" s="20">
        <v>0.5</v>
      </c>
      <c r="C245" s="23">
        <v>100</v>
      </c>
      <c r="D245" s="23">
        <f>30*1500</f>
        <v>45000</v>
      </c>
    </row>
    <row r="246" spans="1:4" x14ac:dyDescent="0.25">
      <c r="A246" s="20">
        <v>3</v>
      </c>
      <c r="B246" s="20"/>
      <c r="C246" s="23">
        <v>350</v>
      </c>
      <c r="D246" s="23">
        <f>(26*60*20.5)+205000</f>
        <v>236980</v>
      </c>
    </row>
    <row r="247" spans="1:4" x14ac:dyDescent="0.25">
      <c r="A247" s="20">
        <v>3</v>
      </c>
      <c r="B247" s="20"/>
      <c r="C247" s="23">
        <v>320</v>
      </c>
      <c r="D247" s="23">
        <f>(35*80*20.5)+147600</f>
        <v>205000</v>
      </c>
    </row>
    <row r="248" spans="1:4" x14ac:dyDescent="0.25">
      <c r="A248" s="20">
        <v>1.5</v>
      </c>
      <c r="B248" s="20"/>
      <c r="C248" s="23">
        <v>155</v>
      </c>
      <c r="D248" s="23">
        <f>(2205*31)+2250</f>
        <v>70605</v>
      </c>
    </row>
    <row r="249" spans="1:4" x14ac:dyDescent="0.25">
      <c r="A249" s="20">
        <v>2</v>
      </c>
      <c r="B249" s="20"/>
      <c r="C249" s="23">
        <v>230</v>
      </c>
      <c r="D249" s="23">
        <f>(32*120)+3200</f>
        <v>7040</v>
      </c>
    </row>
    <row r="250" spans="1:4" x14ac:dyDescent="0.25">
      <c r="A250" s="20">
        <v>1.5</v>
      </c>
      <c r="B250" s="20">
        <v>1.5</v>
      </c>
      <c r="C250" s="23">
        <v>150</v>
      </c>
      <c r="D250" s="23">
        <f>30*75*20.5</f>
        <v>46125</v>
      </c>
    </row>
    <row r="251" spans="1:4" x14ac:dyDescent="0.25">
      <c r="A251" s="21">
        <v>3</v>
      </c>
      <c r="B251" s="21"/>
      <c r="C251" s="29">
        <v>325</v>
      </c>
      <c r="D251" s="29">
        <f>11375*20.5</f>
        <v>233187.5</v>
      </c>
    </row>
    <row r="252" spans="1:4" x14ac:dyDescent="0.25">
      <c r="A252" s="22">
        <v>3</v>
      </c>
      <c r="B252" s="22"/>
      <c r="C252" s="30">
        <v>300</v>
      </c>
      <c r="D252" s="30">
        <f>44*6300</f>
        <v>277200</v>
      </c>
    </row>
    <row r="253" spans="1:4" x14ac:dyDescent="0.25">
      <c r="A253" s="20">
        <v>1.25</v>
      </c>
      <c r="B253" s="20"/>
      <c r="C253" s="23">
        <v>105</v>
      </c>
      <c r="D253" s="23">
        <f>37*1575</f>
        <v>58275</v>
      </c>
    </row>
    <row r="254" spans="1:4" x14ac:dyDescent="0.25">
      <c r="A254" s="20">
        <v>1.5</v>
      </c>
      <c r="B254" s="20"/>
      <c r="C254" s="23">
        <v>125</v>
      </c>
      <c r="D254" s="23">
        <f>28*2200</f>
        <v>61600</v>
      </c>
    </row>
    <row r="255" spans="1:4" x14ac:dyDescent="0.25">
      <c r="A255" s="20">
        <v>2</v>
      </c>
      <c r="B255" s="20"/>
      <c r="C255" s="23">
        <v>210</v>
      </c>
      <c r="D255" s="23">
        <f>31*3360</f>
        <v>104160</v>
      </c>
    </row>
    <row r="256" spans="1:4" x14ac:dyDescent="0.25">
      <c r="A256" s="20">
        <v>3</v>
      </c>
      <c r="B256" s="20"/>
      <c r="C256" s="23">
        <v>270</v>
      </c>
      <c r="D256" s="23">
        <f>30.5*4400</f>
        <v>134200</v>
      </c>
    </row>
    <row r="257" spans="1:4" x14ac:dyDescent="0.25">
      <c r="A257" s="20">
        <v>3</v>
      </c>
      <c r="B257" s="20"/>
      <c r="C257" s="23">
        <v>360</v>
      </c>
      <c r="D257" s="23">
        <f>38*6600</f>
        <v>250800</v>
      </c>
    </row>
    <row r="258" spans="1:4" x14ac:dyDescent="0.25">
      <c r="A258" s="20">
        <v>3</v>
      </c>
      <c r="B258" s="20"/>
      <c r="C258" s="23">
        <v>210</v>
      </c>
      <c r="D258" s="23">
        <f>27.5*3850</f>
        <v>105875</v>
      </c>
    </row>
    <row r="259" spans="1:4" x14ac:dyDescent="0.25">
      <c r="A259" s="20">
        <v>1.5</v>
      </c>
      <c r="B259" s="20"/>
      <c r="C259" s="23">
        <v>150</v>
      </c>
      <c r="D259" s="23">
        <f>31*2640</f>
        <v>81840</v>
      </c>
    </row>
    <row r="260" spans="1:4" x14ac:dyDescent="0.25">
      <c r="A260" s="20">
        <v>3</v>
      </c>
      <c r="B260" s="20"/>
      <c r="C260" s="23">
        <v>240</v>
      </c>
      <c r="D260" s="23">
        <f>35*4400</f>
        <v>154000</v>
      </c>
    </row>
    <row r="261" spans="1:4" x14ac:dyDescent="0.25">
      <c r="A261" s="20">
        <v>3</v>
      </c>
      <c r="B261" s="20"/>
      <c r="C261" s="23">
        <v>300</v>
      </c>
      <c r="D261" s="23">
        <f>41*6050</f>
        <v>248050</v>
      </c>
    </row>
    <row r="262" spans="1:4" x14ac:dyDescent="0.25">
      <c r="A262" s="20">
        <v>3</v>
      </c>
      <c r="B262" s="20"/>
      <c r="C262" s="23">
        <v>220</v>
      </c>
      <c r="D262" s="23">
        <f>26*4070</f>
        <v>105820</v>
      </c>
    </row>
    <row r="263" spans="1:4" x14ac:dyDescent="0.25">
      <c r="A263" s="20">
        <v>3</v>
      </c>
      <c r="B263" s="20"/>
      <c r="C263" s="23">
        <v>205</v>
      </c>
      <c r="D263" s="23">
        <f>28*3850</f>
        <v>107800</v>
      </c>
    </row>
    <row r="264" spans="1:4" x14ac:dyDescent="0.25">
      <c r="A264" s="20">
        <v>3</v>
      </c>
      <c r="B264" s="20"/>
      <c r="C264" s="29">
        <v>250</v>
      </c>
      <c r="D264" s="29">
        <f>30*4400</f>
        <v>132000</v>
      </c>
    </row>
    <row r="265" spans="1:4" x14ac:dyDescent="0.25">
      <c r="A265" s="20">
        <v>3</v>
      </c>
      <c r="B265" s="20"/>
      <c r="C265" s="55"/>
      <c r="D265" s="55"/>
    </row>
    <row r="266" spans="1:4" x14ac:dyDescent="0.25">
      <c r="A266" s="21">
        <v>1</v>
      </c>
      <c r="B266" s="21"/>
    </row>
    <row r="267" spans="1:4" x14ac:dyDescent="0.25">
      <c r="A267" s="58"/>
      <c r="B26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ekb_summary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</dc:creator>
  <cp:lastModifiedBy>Emily Burchfield</cp:lastModifiedBy>
  <cp:lastPrinted>2016-01-06T06:20:12Z</cp:lastPrinted>
  <dcterms:created xsi:type="dcterms:W3CDTF">2015-11-06T03:48:09Z</dcterms:created>
  <dcterms:modified xsi:type="dcterms:W3CDTF">2016-02-26T17:42:10Z</dcterms:modified>
</cp:coreProperties>
</file>