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move_tv" sheetId="1" r:id="rId4"/>
  </sheets>
  <definedNames/>
  <calcPr/>
</workbook>
</file>

<file path=xl/sharedStrings.xml><?xml version="1.0" encoding="utf-8"?>
<sst xmlns="http://schemas.openxmlformats.org/spreadsheetml/2006/main" count="10910" uniqueCount="3321">
  <si>
    <t>province</t>
  </si>
  <si>
    <t>en_province</t>
  </si>
  <si>
    <t>city</t>
  </si>
  <si>
    <t>en_city</t>
  </si>
  <si>
    <t>county</t>
  </si>
  <si>
    <t>en_county</t>
  </si>
  <si>
    <t>code</t>
  </si>
  <si>
    <t>新疆维吾尔自治区</t>
  </si>
  <si>
    <t>NA</t>
  </si>
  <si>
    <t>乌鲁木齐市</t>
  </si>
  <si>
    <t>克拉玛依市</t>
  </si>
  <si>
    <t>吐鲁番市</t>
  </si>
  <si>
    <t>哈密市</t>
  </si>
  <si>
    <t>昌吉回族自治州</t>
  </si>
  <si>
    <t>博尔塔拉蒙古自治州</t>
  </si>
  <si>
    <t>巴音郭楞蒙古自治州</t>
  </si>
  <si>
    <t>阿克苏地区</t>
  </si>
  <si>
    <t>克孜勒苏柯尔克孜自治州</t>
  </si>
  <si>
    <t>喀什地区</t>
  </si>
  <si>
    <t>和田地区</t>
  </si>
  <si>
    <t>伊犁哈萨克自治州</t>
  </si>
  <si>
    <t>塔城地区</t>
  </si>
  <si>
    <t>阿勒泰地区</t>
  </si>
  <si>
    <t>自治区直辖县级行政区划</t>
  </si>
  <si>
    <t>市辖区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</si>
  <si>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</si>
  <si>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</si>
  <si>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</si>
  <si>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</si>
  <si>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</si>
  <si>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</si>
  <si>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</si>
  <si>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</si>
  <si>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</si>
  <si>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</si>
  <si>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</si>
  <si>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</si>
  <si>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</si>
  <si>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</si>
  <si>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</si>
  <si>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</si>
  <si>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</si>
  <si>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</si>
  <si>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</si>
  <si>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</si>
  <si>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</si>
  <si>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</si>
  <si>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</si>
  <si>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</si>
  <si>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</si>
  <si>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</si>
  <si>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</si>
  <si>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</si>
  <si>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</si>
  <si>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</si>
  <si>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</si>
  <si>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</si>
  <si>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</si>
  <si>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</si>
  <si>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</si>
  <si>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</si>
  <si>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</si>
  <si>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</si>
  <si>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库尔勒经济技术开发区</t>
  </si>
  <si>
    <t>阿克苏市</t>
  </si>
  <si>
    <t>库车市</t>
  </si>
  <si>
    <t>温宿县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</si>
  <si>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</si>
  <si>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</si>
  <si>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</si>
  <si>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</si>
  <si>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</si>
  <si>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</si>
  <si>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</si>
  <si>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</si>
  <si>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</si>
  <si>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</si>
  <si>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</si>
  <si>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</si>
  <si>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</si>
  <si>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</si>
  <si>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</si>
  <si>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</si>
  <si>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</si>
  <si>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</si>
  <si>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</si>
  <si>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</si>
  <si>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</si>
  <si>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</si>
  <si>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</si>
  <si>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</si>
  <si>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</si>
  <si>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</si>
  <si>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</si>
  <si>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</si>
  <si>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</si>
  <si>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</si>
  <si>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</si>
  <si>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</si>
  <si>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</si>
  <si>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</si>
  <si>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</si>
  <si>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</si>
  <si>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</si>
  <si>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</si>
  <si>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</si>
  <si>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</si>
  <si>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</si>
  <si>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</si>
  <si>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</si>
  <si>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沙湾市</t>
  </si>
  <si>
    <t>额敏县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</si>
  <si>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</si>
  <si>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</si>
  <si>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</si>
  <si>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</si>
  <si>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</si>
  <si>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</si>
  <si>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</si>
  <si>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</si>
  <si>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</si>
  <si>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</si>
  <si>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石河子市</t>
  </si>
  <si>
    <t>阿拉尔市</t>
  </si>
  <si>
    <t>图木舒克市</t>
  </si>
  <si>
    <t>五家渠市</t>
  </si>
  <si>
    <t>北屯市</t>
  </si>
  <si>
    <t>铁门关市</t>
  </si>
  <si>
    <t>双河市</t>
  </si>
  <si>
    <t>可克达拉市</t>
  </si>
  <si>
    <t>昆玉市</t>
  </si>
  <si>
    <t>胡杨河市</t>
  </si>
  <si>
    <t>新星市</t>
  </si>
  <si>
    <t>山西省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</si>
  <si>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</si>
  <si>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</si>
  <si>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</si>
  <si>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</si>
  <si>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</si>
  <si>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</si>
  <si>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</si>
  <si>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</si>
  <si>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</si>
  <si>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</si>
  <si>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</si>
  <si>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</si>
  <si>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</si>
  <si>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</si>
  <si>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</si>
  <si>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</si>
  <si>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</si>
  <si>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</si>
  <si>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</si>
  <si>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</si>
  <si>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山西转型综合改革示范区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</si>
  <si>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</si>
  <si>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</si>
  <si>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</si>
  <si>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</si>
  <si>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</si>
  <si>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</si>
  <si>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</si>
  <si>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</si>
  <si>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</si>
  <si>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</si>
  <si>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</si>
  <si>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山西大同经济开发区</t>
  </si>
  <si>
    <t>城区</t>
  </si>
  <si>
    <t>矿区</t>
  </si>
  <si>
    <t>郊区</t>
  </si>
  <si>
    <t>平定县</t>
  </si>
  <si>
    <t>盂县</t>
  </si>
  <si>
    <t>潞州区</t>
  </si>
  <si>
    <t>上党区</t>
  </si>
  <si>
    <t>屯留区</t>
  </si>
  <si>
    <t>潞城区</t>
  </si>
  <si>
    <t>襄垣县</t>
  </si>
  <si>
    <t>平顺县</t>
  </si>
  <si>
    <t>黎城县</t>
  </si>
  <si>
    <t>壶关县</t>
  </si>
  <si>
    <t>长子县</t>
  </si>
  <si>
    <t>武乡县</t>
  </si>
  <si>
    <t>沁县</t>
  </si>
  <si>
    <t>沁源县</t>
  </si>
  <si>
    <t>山西长治高新技术产业园区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</si>
  <si>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</si>
  <si>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</si>
  <si>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</si>
  <si>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</si>
  <si>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</si>
  <si>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</si>
  <si>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</si>
  <si>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</si>
  <si>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</si>
  <si>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</si>
  <si>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山西朔州经济开发区</t>
  </si>
  <si>
    <t>怀仁市</t>
  </si>
  <si>
    <t>榆次区</t>
  </si>
  <si>
    <t>太谷区</t>
  </si>
  <si>
    <t>榆社县</t>
  </si>
  <si>
    <t>左权县</t>
  </si>
  <si>
    <t>和顺县</t>
  </si>
  <si>
    <t>昔阳县</t>
  </si>
  <si>
    <t>寿阳县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</si>
  <si>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</si>
  <si>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</si>
  <si>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</si>
  <si>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</si>
  <si>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</si>
  <si>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</si>
  <si>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</si>
  <si>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</si>
  <si>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</si>
  <si>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</si>
  <si>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</si>
  <si>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</si>
  <si>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</si>
  <si>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</si>
  <si>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</si>
  <si>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</si>
  <si>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</si>
  <si>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</si>
  <si>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</si>
  <si>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</si>
  <si>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</si>
  <si>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</si>
  <si>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</si>
  <si>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</si>
  <si>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</si>
  <si>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</si>
  <si>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</si>
  <si>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</si>
  <si>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</si>
  <si>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</si>
  <si>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五台山风景名胜区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</si>
  <si>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</si>
  <si>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</si>
  <si>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</si>
  <si>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</si>
  <si>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</si>
  <si>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</si>
  <si>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</si>
  <si>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</si>
  <si>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</si>
  <si>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</si>
  <si>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</si>
  <si>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</si>
  <si>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</si>
  <si>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</si>
  <si>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</si>
  <si>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</si>
  <si>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</si>
  <si>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</si>
  <si>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</si>
  <si>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</si>
  <si>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</si>
  <si>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</si>
  <si>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</si>
  <si>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</si>
  <si>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</si>
  <si>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</si>
  <si>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</si>
  <si>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</si>
  <si>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</si>
  <si>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</si>
  <si>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</si>
  <si>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青海省</t>
  </si>
  <si>
    <t>西宁市</t>
  </si>
  <si>
    <t>海东市</t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</si>
  <si>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</si>
  <si>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</si>
  <si>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</si>
  <si>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</si>
  <si>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</si>
  <si>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</si>
  <si>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城东区</t>
  </si>
  <si>
    <t>城中区</t>
  </si>
  <si>
    <t>城西区</t>
  </si>
  <si>
    <t>城北区</t>
  </si>
  <si>
    <t>湟中区</t>
  </si>
  <si>
    <t>大通回族土族自治县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</si>
  <si>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</si>
  <si>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</si>
  <si>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</si>
  <si>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</si>
  <si>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</si>
  <si>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</si>
  <si>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</si>
  <si>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</si>
  <si>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</si>
  <si>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</si>
  <si>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</si>
  <si>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同仁市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</si>
  <si>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</si>
  <si>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</si>
  <si>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</si>
  <si>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</si>
  <si>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</si>
  <si>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</si>
  <si>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</si>
  <si>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</si>
  <si>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</si>
  <si>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</si>
  <si>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</si>
  <si>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</si>
  <si>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</si>
  <si>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</si>
  <si>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</si>
  <si>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</si>
  <si>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</si>
  <si>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</si>
  <si>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</si>
  <si>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</si>
  <si>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</si>
  <si>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</si>
  <si>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</si>
  <si>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</si>
  <si>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</si>
  <si>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</si>
  <si>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大柴旦行政委员会</t>
  </si>
  <si>
    <t>湖南省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</si>
  <si>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</si>
  <si>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</si>
  <si>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</si>
  <si>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</si>
  <si>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</si>
  <si>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</si>
  <si>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</si>
  <si>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</si>
  <si>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</si>
  <si>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</si>
  <si>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</si>
  <si>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</si>
  <si>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娄底市</t>
  </si>
  <si>
    <t>湘西土家族苗族自治州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</si>
  <si>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</si>
  <si>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</si>
  <si>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</si>
  <si>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</si>
  <si>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</si>
  <si>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</si>
  <si>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</si>
  <si>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</si>
  <si>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</si>
  <si>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</si>
  <si>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</si>
  <si>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</si>
  <si>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</si>
  <si>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</si>
  <si>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</si>
  <si>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</si>
  <si>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</si>
  <si>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</si>
  <si>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</si>
  <si>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</si>
  <si>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</si>
  <si>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湖南湘潭高新技术产业园区</t>
  </si>
  <si>
    <t>湘潭昭山示范区</t>
  </si>
  <si>
    <t>湘潭九华示范区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</si>
  <si>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</si>
  <si>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</si>
  <si>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</si>
  <si>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</si>
  <si>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</si>
  <si>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</si>
  <si>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</si>
  <si>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</si>
  <si>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</si>
  <si>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</si>
  <si>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</si>
  <si>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</si>
  <si>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衡阳综合保税区</t>
  </si>
  <si>
    <t>湖南衡阳高新技术产业园区</t>
  </si>
  <si>
    <t>湖南衡阳松木经济开发区</t>
  </si>
  <si>
    <t>耒阳市</t>
  </si>
  <si>
    <t>常宁市</t>
  </si>
  <si>
    <t>双清区</t>
  </si>
  <si>
    <t>大祥区</t>
  </si>
  <si>
    <t>北塔区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</si>
  <si>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</si>
  <si>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</si>
  <si>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</si>
  <si>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</si>
  <si>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</si>
  <si>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</si>
  <si>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</si>
  <si>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</si>
  <si>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邵东市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</si>
  <si>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</si>
  <si>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</si>
  <si>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</si>
  <si>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</si>
  <si>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</si>
  <si>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</si>
  <si>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</si>
  <si>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岳阳市屈原管理区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</si>
  <si>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</si>
  <si>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</si>
  <si>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</si>
  <si>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</si>
  <si>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</si>
  <si>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</si>
  <si>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</si>
  <si>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</si>
  <si>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</si>
  <si>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</si>
  <si>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常德市西洞庭管理区</t>
  </si>
  <si>
    <t>津市市</t>
  </si>
  <si>
    <t>永定区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</si>
  <si>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</si>
  <si>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</si>
  <si>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</si>
  <si>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</si>
  <si>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</si>
  <si>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</si>
  <si>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</si>
  <si>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</si>
  <si>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益阳市大通湖管理区</t>
  </si>
  <si>
    <t>湖南益阳高新技术产业园区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</si>
  <si>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</si>
  <si>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</si>
  <si>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</si>
  <si>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</si>
  <si>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</si>
  <si>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</si>
  <si>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</si>
  <si>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</si>
  <si>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</si>
  <si>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</si>
  <si>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</si>
  <si>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</si>
  <si>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</si>
  <si>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</si>
  <si>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</si>
  <si>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</si>
  <si>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</si>
  <si>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</si>
  <si>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</si>
  <si>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</si>
  <si>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</si>
  <si>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</si>
  <si>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永州经济技术开发区</t>
  </si>
  <si>
    <t>永州市回龙圩管理区</t>
  </si>
  <si>
    <t>祁阳市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</si>
  <si>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</si>
  <si>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</si>
  <si>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</si>
  <si>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</si>
  <si>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</si>
  <si>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</si>
  <si>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</si>
  <si>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</si>
  <si>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</si>
  <si>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</si>
  <si>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</si>
  <si>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怀化市洪江管理区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</si>
  <si>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</si>
  <si>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</si>
  <si>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</si>
  <si>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</si>
  <si>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</si>
  <si>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</si>
  <si>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</si>
  <si>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</si>
  <si>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</si>
  <si>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</si>
  <si>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</si>
  <si>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</si>
  <si>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</si>
  <si>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</si>
  <si>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上海市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</si>
  <si>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</si>
  <si>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</si>
  <si>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</si>
  <si>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</si>
  <si>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</si>
  <si>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</si>
  <si>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</si>
  <si>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</si>
  <si>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宝山区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</si>
  <si>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</si>
  <si>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</si>
  <si>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</si>
  <si>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</si>
  <si>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</si>
  <si>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</si>
  <si>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</si>
  <si>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浙江省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</si>
  <si>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</si>
  <si>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</si>
  <si>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</si>
  <si>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</si>
  <si>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</si>
  <si>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</si>
  <si>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</si>
  <si>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</si>
  <si>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</si>
  <si>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</si>
  <si>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</si>
  <si>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上城区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</si>
  <si>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</si>
  <si>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</si>
  <si>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</si>
  <si>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</si>
  <si>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</si>
  <si>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</si>
  <si>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</si>
  <si>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临平区</t>
  </si>
  <si>
    <t>钱塘区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</si>
  <si>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</si>
  <si>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</si>
  <si>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</si>
  <si>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</si>
  <si>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</si>
  <si>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</si>
  <si>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</si>
  <si>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</si>
  <si>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</si>
  <si>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</si>
  <si>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</si>
  <si>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</si>
  <si>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</si>
  <si>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</si>
  <si>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</si>
  <si>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</si>
  <si>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</si>
  <si>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</si>
  <si>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</si>
  <si>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</si>
  <si>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</si>
  <si>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</si>
  <si>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</si>
  <si>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</si>
  <si>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龙港市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</si>
  <si>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</si>
  <si>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</si>
  <si>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</si>
  <si>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</si>
  <si>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</si>
  <si>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</si>
  <si>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</si>
  <si>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</si>
  <si>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</si>
  <si>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</si>
  <si>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</si>
  <si>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</si>
  <si>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</si>
  <si>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</si>
  <si>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</si>
  <si>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</si>
  <si>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</si>
  <si>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</si>
  <si>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</si>
  <si>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</si>
  <si>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</si>
  <si>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</si>
  <si>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</si>
  <si>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</si>
  <si>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</si>
  <si>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</si>
  <si>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</si>
  <si>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</si>
  <si>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</si>
  <si>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</si>
  <si>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</si>
  <si>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</si>
  <si>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</si>
  <si>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</si>
  <si>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</si>
  <si>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</si>
  <si>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</si>
  <si>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</si>
  <si>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</si>
  <si>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</si>
  <si>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</si>
  <si>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</si>
  <si>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</si>
  <si>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</si>
  <si>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</si>
  <si>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</si>
  <si>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</si>
  <si>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</si>
  <si>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</si>
  <si>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</si>
  <si>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</si>
  <si>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</si>
  <si>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</si>
  <si>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</si>
  <si>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安徽省</t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</si>
  <si>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</si>
  <si>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</si>
  <si>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</si>
  <si>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</si>
  <si>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</si>
  <si>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</si>
  <si>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</si>
  <si>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</si>
  <si>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</si>
  <si>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</si>
  <si>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</si>
  <si>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</si>
  <si>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六安市</t>
  </si>
  <si>
    <t>亳州市</t>
  </si>
  <si>
    <t>池州市</t>
  </si>
  <si>
    <t>宣城市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</si>
  <si>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</si>
  <si>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</si>
  <si>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</si>
  <si>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</si>
  <si>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</si>
  <si>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</si>
  <si>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</si>
  <si>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</si>
  <si>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合肥高新技术产业开发区</t>
  </si>
  <si>
    <t>合肥经济技术开发区</t>
  </si>
  <si>
    <t>合肥新站高新技术产业开发区</t>
  </si>
  <si>
    <t>巢湖市</t>
  </si>
  <si>
    <t>镜湖区</t>
  </si>
  <si>
    <t>鸠江区</t>
  </si>
  <si>
    <t>弋江区</t>
  </si>
  <si>
    <t>湾沚区</t>
  </si>
  <si>
    <t>繁昌区</t>
  </si>
  <si>
    <t>南陵县</t>
  </si>
  <si>
    <t>芜湖经济技术开发区</t>
  </si>
  <si>
    <t>安徽芜湖三山经济开发区</t>
  </si>
  <si>
    <t>无为市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</si>
  <si>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</si>
  <si>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</si>
  <si>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</si>
  <si>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</si>
  <si>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</si>
  <si>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</si>
  <si>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</si>
  <si>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蚌埠市高新技术开发区</t>
  </si>
  <si>
    <t>蚌埠市经济开发区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</si>
  <si>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</si>
  <si>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</si>
  <si>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</si>
  <si>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</si>
  <si>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</si>
  <si>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</si>
  <si>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</si>
  <si>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</si>
  <si>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</si>
  <si>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</si>
  <si>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</si>
  <si>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</si>
  <si>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</si>
  <si>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</si>
  <si>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</si>
  <si>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</si>
  <si>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</si>
  <si>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</si>
  <si>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</si>
  <si>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</si>
  <si>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</si>
  <si>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</si>
  <si>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</si>
  <si>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</si>
  <si>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太湖县</t>
  </si>
  <si>
    <t>宿松县</t>
  </si>
  <si>
    <t>望江县</t>
  </si>
  <si>
    <t>岳西县</t>
  </si>
  <si>
    <t>安徽安庆经济开发区</t>
  </si>
  <si>
    <t>桐城市</t>
  </si>
  <si>
    <t>潜山市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</si>
  <si>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</si>
  <si>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</si>
  <si>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</si>
  <si>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</si>
  <si>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</si>
  <si>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</si>
  <si>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</si>
  <si>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</si>
  <si>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</si>
  <si>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</si>
  <si>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</si>
  <si>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</si>
  <si>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</si>
  <si>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中新苏滁高新技术产业开发区</t>
  </si>
  <si>
    <t>滁州经济技术开发区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</si>
  <si>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</si>
  <si>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</si>
  <si>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</si>
  <si>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</si>
  <si>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</si>
  <si>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</si>
  <si>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</si>
  <si>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</si>
  <si>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</si>
  <si>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阜阳合肥现代产业园区</t>
  </si>
  <si>
    <t>阜阳经济技术开发区</t>
  </si>
  <si>
    <t>界首市</t>
  </si>
  <si>
    <t>埇桥区</t>
  </si>
  <si>
    <t>砀山县</t>
  </si>
  <si>
    <t>萧县</t>
  </si>
  <si>
    <t>灵璧县</t>
  </si>
  <si>
    <t>泗县</t>
  </si>
  <si>
    <t>宿州马鞍山现代产业园区</t>
  </si>
  <si>
    <t>宿州经济技术开发区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</si>
  <si>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</si>
  <si>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</si>
  <si>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</si>
  <si>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</si>
  <si>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</si>
  <si>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</si>
  <si>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</si>
  <si>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</si>
  <si>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</si>
  <si>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</si>
  <si>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</si>
  <si>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</si>
  <si>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</si>
  <si>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</si>
  <si>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</si>
  <si>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</si>
  <si>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</si>
  <si>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泾县</t>
  </si>
  <si>
    <t>绩溪县</t>
  </si>
  <si>
    <t>旌德县</t>
  </si>
  <si>
    <t>宣城市经济开发区</t>
  </si>
  <si>
    <t>宁国市</t>
  </si>
  <si>
    <t>广德市</t>
  </si>
  <si>
    <t>广东省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</si>
  <si>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</si>
  <si>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</si>
  <si>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</si>
  <si>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</si>
  <si>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</si>
  <si>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</si>
  <si>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</si>
  <si>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</si>
  <si>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</si>
  <si>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</si>
  <si>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</si>
  <si>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</si>
  <si>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</si>
  <si>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</si>
  <si>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</si>
  <si>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</si>
  <si>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</si>
  <si>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</si>
  <si>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</si>
  <si>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</si>
  <si>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</si>
  <si>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</si>
  <si>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</si>
  <si>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</si>
  <si>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</si>
  <si>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</si>
  <si>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</si>
  <si>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</si>
  <si>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</si>
  <si>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</si>
  <si>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</si>
  <si>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</si>
  <si>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</si>
  <si>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</si>
  <si>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</si>
  <si>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</si>
  <si>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</si>
  <si>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</si>
  <si>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</si>
  <si>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</si>
  <si>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</si>
  <si>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</si>
  <si>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</si>
  <si>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</si>
  <si>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南山区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</si>
  <si>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</si>
  <si>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</si>
  <si>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</si>
  <si>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</si>
  <si>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</si>
  <si>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</si>
  <si>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</si>
  <si>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</si>
  <si>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</si>
  <si>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</si>
  <si>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</si>
  <si>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</si>
  <si>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</si>
  <si>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</si>
  <si>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</si>
  <si>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</si>
  <si>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</si>
  <si>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</si>
  <si>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</si>
  <si>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</si>
  <si>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</si>
  <si>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</si>
  <si>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</si>
  <si>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</si>
  <si>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</si>
  <si>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</si>
  <si>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</si>
  <si>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</si>
  <si>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</si>
  <si>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</si>
  <si>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</si>
  <si>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</si>
  <si>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</si>
  <si>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</si>
  <si>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</si>
  <si>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</si>
  <si>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</si>
  <si>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</si>
  <si>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</si>
  <si>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</si>
  <si>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</si>
  <si>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</si>
  <si>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</si>
  <si>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</si>
  <si>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</si>
  <si>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</si>
  <si>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</si>
  <si>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</si>
  <si>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</si>
  <si>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</si>
  <si>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</si>
  <si>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</si>
  <si>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</si>
  <si>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</si>
  <si>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</si>
  <si>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</si>
  <si>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</si>
  <si>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</si>
  <si>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</si>
  <si>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</si>
  <si>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</si>
  <si>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</si>
  <si>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</si>
  <si>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</si>
  <si>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</si>
  <si>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</si>
  <si>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</si>
  <si>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</si>
  <si>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</si>
  <si>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</si>
  <si>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</si>
  <si>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</si>
  <si>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</si>
  <si>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</si>
  <si>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</si>
  <si>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</si>
  <si>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</si>
  <si>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</si>
  <si>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</si>
  <si>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</si>
  <si>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</si>
  <si>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</si>
  <si>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</si>
  <si>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</si>
  <si>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</si>
  <si>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</si>
  <si>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</si>
  <si>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</si>
  <si>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</si>
  <si>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</si>
  <si>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</si>
  <si>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</si>
  <si>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</si>
  <si>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</si>
  <si>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</si>
  <si>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</si>
  <si>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</si>
  <si>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宁夏回族自治区</t>
  </si>
  <si>
    <t>银川市</t>
  </si>
  <si>
    <t>石嘴山市</t>
  </si>
  <si>
    <t>吴忠市</t>
  </si>
  <si>
    <t>固原市</t>
  </si>
  <si>
    <t>中卫市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</si>
  <si>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</si>
  <si>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</si>
  <si>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</si>
  <si>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</si>
  <si>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</si>
  <si>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</si>
  <si>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</si>
  <si>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</si>
  <si>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</si>
  <si>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</si>
  <si>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</si>
  <si>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</si>
  <si>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</si>
  <si>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</si>
  <si>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</si>
  <si>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</si>
  <si>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</si>
  <si>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</si>
  <si>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</si>
  <si>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</si>
  <si>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</si>
  <si>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</si>
  <si>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江西省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</si>
  <si>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</si>
  <si>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</si>
  <si>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</si>
  <si>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</si>
  <si>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</si>
  <si>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</si>
  <si>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</si>
  <si>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</si>
  <si>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</si>
  <si>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</si>
  <si>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</si>
  <si>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东湖区</t>
  </si>
  <si>
    <t>青云谱区</t>
  </si>
  <si>
    <t>青山湖区</t>
  </si>
  <si>
    <t>新建区</t>
  </si>
  <si>
    <t>红谷滩区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</si>
  <si>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</si>
  <si>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</si>
  <si>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</si>
  <si>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</si>
  <si>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</si>
  <si>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</si>
  <si>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</si>
  <si>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</si>
  <si>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</si>
  <si>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</si>
  <si>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</si>
  <si>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</si>
  <si>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</si>
  <si>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</si>
  <si>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</si>
  <si>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</si>
  <si>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</si>
  <si>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</si>
  <si>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</si>
  <si>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</si>
  <si>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</si>
  <si>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</si>
  <si>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</si>
  <si>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</si>
  <si>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</si>
  <si>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</si>
  <si>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</si>
  <si>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</si>
  <si>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</si>
  <si>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</si>
  <si>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</si>
  <si>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</si>
  <si>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</si>
  <si>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</si>
  <si>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</si>
  <si>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</si>
  <si>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</si>
  <si>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</si>
  <si>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</si>
  <si>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</si>
  <si>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</si>
  <si>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</si>
  <si>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</si>
  <si>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</si>
  <si>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</si>
  <si>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</si>
  <si>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</si>
  <si>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龙南市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</si>
  <si>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</si>
  <si>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</si>
  <si>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</si>
  <si>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</si>
  <si>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</si>
  <si>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</si>
  <si>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</si>
  <si>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</si>
  <si>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</si>
  <si>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</si>
  <si>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</si>
  <si>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</si>
  <si>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</si>
  <si>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</si>
  <si>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</si>
  <si>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</si>
  <si>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</si>
  <si>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</si>
  <si>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</si>
  <si>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</si>
  <si>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</si>
  <si>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</si>
  <si>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</si>
  <si>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</si>
  <si>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</si>
  <si>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</si>
  <si>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</si>
  <si>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</si>
  <si>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</si>
  <si>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</si>
  <si>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</si>
  <si>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</si>
  <si>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</si>
  <si>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</si>
  <si>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</si>
  <si>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</si>
  <si>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广信区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</si>
  <si>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</si>
  <si>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</si>
  <si>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</si>
  <si>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</si>
  <si>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</si>
  <si>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</si>
  <si>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</si>
  <si>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</si>
  <si>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</si>
  <si>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黑龙江省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</si>
  <si>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</si>
  <si>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</si>
  <si>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</si>
  <si>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</si>
  <si>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</si>
  <si>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</si>
  <si>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</si>
  <si>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</si>
  <si>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</si>
  <si>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</si>
  <si>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</si>
  <si>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绥化市</t>
  </si>
  <si>
    <t>大兴安岭地区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</si>
  <si>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</si>
  <si>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</si>
  <si>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</si>
  <si>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</si>
  <si>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</si>
  <si>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</si>
  <si>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</si>
  <si>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</si>
  <si>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</si>
  <si>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</si>
  <si>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</si>
  <si>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</si>
  <si>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</si>
  <si>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</si>
  <si>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</si>
  <si>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</si>
  <si>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</si>
  <si>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</si>
  <si>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</si>
  <si>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</si>
  <si>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</si>
  <si>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</si>
  <si>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</si>
  <si>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</si>
  <si>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</si>
  <si>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</si>
  <si>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</si>
  <si>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</si>
  <si>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</si>
  <si>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</si>
  <si>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</si>
  <si>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</si>
  <si>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</si>
  <si>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</si>
  <si>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</si>
  <si>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</si>
  <si>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</si>
  <si>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</si>
  <si>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</si>
  <si>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</si>
  <si>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</si>
  <si>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</si>
  <si>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</si>
  <si>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</si>
  <si>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</si>
  <si>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</si>
  <si>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</si>
  <si>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</si>
  <si>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</si>
  <si>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</si>
  <si>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</si>
  <si>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</si>
  <si>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</si>
  <si>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</si>
  <si>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</si>
  <si>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</si>
  <si>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</si>
  <si>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</si>
  <si>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</si>
  <si>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</si>
  <si>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</si>
  <si>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</si>
  <si>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</si>
  <si>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</si>
  <si>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</si>
  <si>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</si>
  <si>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大庆高新技术产业开发区</t>
  </si>
  <si>
    <t>伊美区</t>
  </si>
  <si>
    <t>乌翠区</t>
  </si>
  <si>
    <t>友好区</t>
  </si>
  <si>
    <t>嘉荫县</t>
  </si>
  <si>
    <t>汤旺县</t>
  </si>
  <si>
    <t>丰林县</t>
  </si>
  <si>
    <t>大箐山县</t>
  </si>
  <si>
    <t>南岔县</t>
  </si>
  <si>
    <t>金林区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</si>
  <si>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</si>
  <si>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</si>
  <si>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</si>
  <si>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</si>
  <si>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</si>
  <si>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</si>
  <si>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</si>
  <si>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</si>
  <si>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</si>
  <si>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</si>
  <si>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</si>
  <si>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</si>
  <si>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</si>
  <si>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</si>
  <si>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</si>
  <si>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</si>
  <si>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西安区</t>
  </si>
  <si>
    <t>林口县</t>
  </si>
  <si>
    <t>牡丹江经济技术开发区</t>
  </si>
  <si>
    <t>绥芬河市</t>
  </si>
  <si>
    <t>海林市</t>
  </si>
  <si>
    <t>宁安市</t>
  </si>
  <si>
    <t>穆棱市</t>
  </si>
  <si>
    <t>东宁市</t>
  </si>
  <si>
    <t>爱辉区</t>
  </si>
  <si>
    <t>逊克县</t>
  </si>
  <si>
    <t>孙吴县</t>
  </si>
  <si>
    <t>北安市</t>
  </si>
  <si>
    <t>五大连池市</t>
  </si>
  <si>
    <t>嫩江市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</si>
  <si>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</si>
  <si>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</si>
  <si>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</si>
  <si>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</si>
  <si>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</si>
  <si>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</si>
  <si>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</si>
  <si>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</si>
  <si>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</si>
  <si>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</si>
  <si>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</si>
  <si>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</si>
  <si>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</si>
  <si>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加格达奇区</t>
  </si>
  <si>
    <t>松岭区</t>
  </si>
  <si>
    <t>新林区</t>
  </si>
  <si>
    <t>呼中区</t>
  </si>
  <si>
    <t>河北省</t>
  </si>
  <si>
    <t>石家庄市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</si>
  <si>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</si>
  <si>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</si>
  <si>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</si>
  <si>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</si>
  <si>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</si>
  <si>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</si>
  <si>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</si>
  <si>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</si>
  <si>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</si>
  <si>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</si>
  <si>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</si>
  <si>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</si>
  <si>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</si>
  <si>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</si>
  <si>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</si>
  <si>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</si>
  <si>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</si>
  <si>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</si>
  <si>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</si>
  <si>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</si>
  <si>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</si>
  <si>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</si>
  <si>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</si>
  <si>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</si>
  <si>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</si>
  <si>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</si>
  <si>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</si>
  <si>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</si>
  <si>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</si>
  <si>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石家庄高新技术产业开发区</t>
  </si>
  <si>
    <t>石家庄循环化工园区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</si>
  <si>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</si>
  <si>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</si>
  <si>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</si>
  <si>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</si>
  <si>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</si>
  <si>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</si>
  <si>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</si>
  <si>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</si>
  <si>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</si>
  <si>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</si>
  <si>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滦南县</t>
  </si>
  <si>
    <t>乐亭县</t>
  </si>
  <si>
    <t>迁西县</t>
  </si>
  <si>
    <t>玉田县</t>
  </si>
  <si>
    <t>河北唐山芦台经济开发区</t>
  </si>
  <si>
    <t>唐山市汉沽管理区</t>
  </si>
  <si>
    <t>唐山高新技术产业开发区</t>
  </si>
  <si>
    <t>河北唐山海港经济开发区</t>
  </si>
  <si>
    <t>遵化市</t>
  </si>
  <si>
    <t>迁安市</t>
  </si>
  <si>
    <t>滦州市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</si>
  <si>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</si>
  <si>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</si>
  <si>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</si>
  <si>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</si>
  <si>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</si>
  <si>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</si>
  <si>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</si>
  <si>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秦皇岛市经济技术开发区</t>
  </si>
  <si>
    <t>北戴河新区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</si>
  <si>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</si>
  <si>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</si>
  <si>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</si>
  <si>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</si>
  <si>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</si>
  <si>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</si>
  <si>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</si>
  <si>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</si>
  <si>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</si>
  <si>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</si>
  <si>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</si>
  <si>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</si>
  <si>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</si>
  <si>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</si>
  <si>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</si>
  <si>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</si>
  <si>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</si>
  <si>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邯郸经济技术开发区</t>
  </si>
  <si>
    <t>邯郸冀南新区</t>
  </si>
  <si>
    <t>武安市</t>
  </si>
  <si>
    <t>襄都区</t>
  </si>
  <si>
    <t>信都区</t>
  </si>
  <si>
    <t>任泽区</t>
  </si>
  <si>
    <t>南和区</t>
  </si>
  <si>
    <t>临城县</t>
  </si>
  <si>
    <t>内丘县</t>
  </si>
  <si>
    <t>柏乡县</t>
  </si>
  <si>
    <t>隆尧县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</si>
  <si>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</si>
  <si>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</si>
  <si>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</si>
  <si>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</si>
  <si>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</si>
  <si>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</si>
  <si>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</si>
  <si>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</si>
  <si>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河北邢台经济开发区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</si>
  <si>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</si>
  <si>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</si>
  <si>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</si>
  <si>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</si>
  <si>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</si>
  <si>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</si>
  <si>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</si>
  <si>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</si>
  <si>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</si>
  <si>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</si>
  <si>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</si>
  <si>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</si>
  <si>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</si>
  <si>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</si>
  <si>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</si>
  <si>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</si>
  <si>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</si>
  <si>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</si>
  <si>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</si>
  <si>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</si>
  <si>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</si>
  <si>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</si>
  <si>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保定高新技术产业开发区</t>
  </si>
  <si>
    <t>保定白沟新城</t>
  </si>
  <si>
    <t>涿州市</t>
  </si>
  <si>
    <t>定州市</t>
  </si>
  <si>
    <t>安国市</t>
  </si>
  <si>
    <t>高碑店市</t>
  </si>
  <si>
    <t>桥东区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</si>
  <si>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</si>
  <si>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</si>
  <si>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</si>
  <si>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</si>
  <si>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</si>
  <si>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</si>
  <si>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</si>
  <si>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</si>
  <si>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</si>
  <si>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</si>
  <si>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</si>
  <si>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</si>
  <si>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</si>
  <si>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</si>
  <si>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张家口经济开发区</t>
  </si>
  <si>
    <t>张家口市察北管理区</t>
  </si>
  <si>
    <t>张家口市塞北管理区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</si>
  <si>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</si>
  <si>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</si>
  <si>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</si>
  <si>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</si>
  <si>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</si>
  <si>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</si>
  <si>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</si>
  <si>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</si>
  <si>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</si>
  <si>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</si>
  <si>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承德高新技术产业开发区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</si>
  <si>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</si>
  <si>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</si>
  <si>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</si>
  <si>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</si>
  <si>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</si>
  <si>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</si>
  <si>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</si>
  <si>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</si>
  <si>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</si>
  <si>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</si>
  <si>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</si>
  <si>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</si>
  <si>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河北沧州经济开发区</t>
  </si>
  <si>
    <t>沧州高新技术产业开发区</t>
  </si>
  <si>
    <t>沧州渤海新区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</si>
  <si>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</si>
  <si>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</si>
  <si>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</si>
  <si>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</si>
  <si>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</si>
  <si>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</si>
  <si>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</si>
  <si>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</si>
  <si>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</si>
  <si>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</si>
  <si>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</si>
  <si>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</si>
  <si>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廊坊经济技术开发区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</si>
  <si>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</si>
  <si>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</si>
  <si>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</si>
  <si>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</si>
  <si>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</si>
  <si>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</si>
  <si>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</si>
  <si>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</si>
  <si>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</si>
  <si>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</si>
  <si>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</si>
  <si>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</si>
  <si>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河北衡水高新技术产业开发区</t>
  </si>
  <si>
    <t>衡水滨湖新区</t>
  </si>
  <si>
    <t>深州市</t>
  </si>
  <si>
    <t>山东省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</si>
  <si>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</si>
  <si>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</si>
  <si>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</si>
  <si>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</si>
  <si>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</si>
  <si>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</si>
  <si>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</si>
  <si>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</si>
  <si>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</si>
  <si>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</si>
  <si>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</si>
  <si>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临沂市</t>
  </si>
  <si>
    <t>德州市</t>
  </si>
  <si>
    <t>聊城市</t>
  </si>
  <si>
    <t>滨州市</t>
  </si>
  <si>
    <t>菏泽市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</si>
  <si>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</si>
  <si>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</si>
  <si>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</si>
  <si>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</si>
  <si>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</si>
  <si>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</si>
  <si>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</si>
  <si>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济阳区</t>
  </si>
  <si>
    <t>莱芜区</t>
  </si>
  <si>
    <t>钢城区</t>
  </si>
  <si>
    <t>平阴县</t>
  </si>
  <si>
    <t>商河县</t>
  </si>
  <si>
    <t>济南高新技术产业开发区</t>
  </si>
  <si>
    <t>市南区</t>
  </si>
  <si>
    <t>市北区</t>
  </si>
  <si>
    <t>黄岛区</t>
  </si>
  <si>
    <t>崂山区</t>
  </si>
  <si>
    <t>李沧区</t>
  </si>
  <si>
    <t>城阳区</t>
  </si>
  <si>
    <t>即墨区</t>
  </si>
  <si>
    <t>青岛高新技术产业开发区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</si>
  <si>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</si>
  <si>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</si>
  <si>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</si>
  <si>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</si>
  <si>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</si>
  <si>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</si>
  <si>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</si>
  <si>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</si>
  <si>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</si>
  <si>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</si>
  <si>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</si>
  <si>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</si>
  <si>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</si>
  <si>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</si>
  <si>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</si>
  <si>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</si>
  <si>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</si>
  <si>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</si>
  <si>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</si>
  <si>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</si>
  <si>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</si>
  <si>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东营经济技术开发区</t>
  </si>
  <si>
    <t>东营港经济开发区</t>
  </si>
  <si>
    <t>芝罘区</t>
  </si>
  <si>
    <t>福山区</t>
  </si>
  <si>
    <t>牟平区</t>
  </si>
  <si>
    <t>莱山区</t>
  </si>
  <si>
    <t>蓬莱区</t>
  </si>
  <si>
    <t>烟台高新技术产业开发区</t>
  </si>
  <si>
    <t>烟台经济技术开发区</t>
  </si>
  <si>
    <t>龙口市</t>
  </si>
  <si>
    <t>莱阳市</t>
  </si>
  <si>
    <t>莱州市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</si>
  <si>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</si>
  <si>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</si>
  <si>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</si>
  <si>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</si>
  <si>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</si>
  <si>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</si>
  <si>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</si>
  <si>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</si>
  <si>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</si>
  <si>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潍坊滨海经济技术开发区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</si>
  <si>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</si>
  <si>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</si>
  <si>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</si>
  <si>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</si>
  <si>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</si>
  <si>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</si>
  <si>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</si>
  <si>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</si>
  <si>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</si>
  <si>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</si>
  <si>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</si>
  <si>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</si>
  <si>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</si>
  <si>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</si>
  <si>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</si>
  <si>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济宁高新技术产业开发区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</si>
  <si>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</si>
  <si>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</si>
  <si>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</si>
  <si>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</si>
  <si>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</si>
  <si>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</si>
  <si>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</si>
  <si>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</si>
  <si>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</si>
  <si>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</si>
  <si>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威海火炬高技术产业开发区</t>
  </si>
  <si>
    <t>威海经济技术开发区</t>
  </si>
  <si>
    <t>威海临港经济技术开发区</t>
  </si>
  <si>
    <t>荣成市</t>
  </si>
  <si>
    <t>乳山市</t>
  </si>
  <si>
    <t>东港区</t>
  </si>
  <si>
    <t>岚山区</t>
  </si>
  <si>
    <t>五莲县</t>
  </si>
  <si>
    <t>莒县</t>
  </si>
  <si>
    <t>日照经济技术开发区</t>
  </si>
  <si>
    <t>兰山区</t>
  </si>
  <si>
    <t>罗庄区</t>
  </si>
  <si>
    <t>河东区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</si>
  <si>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</si>
  <si>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</si>
  <si>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</si>
  <si>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</si>
  <si>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</si>
  <si>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</si>
  <si>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</si>
  <si>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</si>
  <si>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</si>
  <si>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临沂高新技术产业开发区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</si>
  <si>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</si>
  <si>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</si>
  <si>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</si>
  <si>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</si>
  <si>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</si>
  <si>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</si>
  <si>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</si>
  <si>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</si>
  <si>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</si>
  <si>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德州天衢新区</t>
  </si>
  <si>
    <t>乐陵市</t>
  </si>
  <si>
    <t>禹城市</t>
  </si>
  <si>
    <t>东昌府区</t>
  </si>
  <si>
    <t>茌平区</t>
  </si>
  <si>
    <t>阳谷县</t>
  </si>
  <si>
    <t>莘县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</si>
  <si>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</si>
  <si>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</si>
  <si>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</si>
  <si>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</si>
  <si>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</si>
  <si>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</si>
  <si>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</si>
  <si>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</si>
  <si>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</si>
  <si>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</si>
  <si>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</si>
  <si>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</si>
  <si>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</si>
  <si>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</si>
  <si>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</si>
  <si>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</si>
  <si>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</si>
  <si>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</si>
  <si>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</si>
  <si>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</si>
  <si>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菏泽经济技术开发区</t>
  </si>
  <si>
    <t>菏泽高新技术开发区</t>
  </si>
  <si>
    <t>西藏自治区</t>
  </si>
  <si>
    <t>拉萨市</t>
  </si>
  <si>
    <t>日喀则市</t>
  </si>
  <si>
    <t>昌都市</t>
  </si>
  <si>
    <t>林芝市</t>
  </si>
  <si>
    <t>山南市</t>
  </si>
  <si>
    <t>那曲市</t>
  </si>
  <si>
    <t>阿里地区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</si>
  <si>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</si>
  <si>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</si>
  <si>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</si>
  <si>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</si>
  <si>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</si>
  <si>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</si>
  <si>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</si>
  <si>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</si>
  <si>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格尔木藏青工业园区</t>
  </si>
  <si>
    <t>拉萨经济技术开发区</t>
  </si>
  <si>
    <t>西藏文化旅游创意园区</t>
  </si>
  <si>
    <t>达孜工业园区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</si>
  <si>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</si>
  <si>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</si>
  <si>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</si>
  <si>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</si>
  <si>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</si>
  <si>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</si>
  <si>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</si>
  <si>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</si>
  <si>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</si>
  <si>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</si>
  <si>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</si>
  <si>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</si>
  <si>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</si>
  <si>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</si>
  <si>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</si>
  <si>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</si>
  <si>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</si>
  <si>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</si>
  <si>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</si>
  <si>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</si>
  <si>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</si>
  <si>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</si>
  <si>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</si>
  <si>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</si>
  <si>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</si>
  <si>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</si>
  <si>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</si>
  <si>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</si>
  <si>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</si>
  <si>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</si>
  <si>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</si>
  <si>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</si>
  <si>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</si>
  <si>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</si>
  <si>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</si>
  <si>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</si>
  <si>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</si>
  <si>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</si>
  <si>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</si>
  <si>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</si>
  <si>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</si>
  <si>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</si>
  <si>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</si>
  <si>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</si>
  <si>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</si>
  <si>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</si>
  <si>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</si>
  <si>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</si>
  <si>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</si>
  <si>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</si>
  <si>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</si>
  <si>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</si>
  <si>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</si>
  <si>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</si>
  <si>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</si>
  <si>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</si>
  <si>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</si>
  <si>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</si>
  <si>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</si>
  <si>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</si>
  <si>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</si>
  <si>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</si>
  <si>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</si>
  <si>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</si>
  <si>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</si>
  <si>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</si>
  <si>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贵州省</t>
  </si>
  <si>
    <t>贵阳市</t>
  </si>
  <si>
    <t>六盘水市</t>
  </si>
  <si>
    <t>遵义市</t>
  </si>
  <si>
    <t>安顺市</t>
  </si>
  <si>
    <t>毕节市</t>
  </si>
  <si>
    <t>铜仁市</t>
  </si>
  <si>
    <t>黔西南布依族苗族自治州</t>
  </si>
  <si>
    <t>黔东南苗族侗族自治州</t>
  </si>
  <si>
    <t>黔南布依族苗族自治州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</si>
  <si>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</si>
  <si>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</si>
  <si>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</si>
  <si>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</si>
  <si>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</si>
  <si>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</si>
  <si>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</si>
  <si>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</si>
  <si>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</si>
  <si>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</si>
  <si>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</si>
  <si>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水城区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</si>
  <si>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</si>
  <si>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</si>
  <si>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</si>
  <si>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</si>
  <si>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</si>
  <si>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</si>
  <si>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</si>
  <si>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</si>
  <si>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</si>
  <si>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</si>
  <si>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</si>
  <si>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</si>
  <si>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</si>
  <si>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</si>
  <si>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</si>
  <si>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</si>
  <si>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</si>
  <si>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</si>
  <si>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</si>
  <si>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</si>
  <si>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</si>
  <si>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</si>
  <si>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</si>
  <si>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金沙县</t>
  </si>
  <si>
    <t>织金县</t>
  </si>
  <si>
    <t>纳雍县</t>
  </si>
  <si>
    <t>威宁彝族回族苗族自治县</t>
  </si>
  <si>
    <t>赫章县</t>
  </si>
  <si>
    <t>黔西市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</si>
  <si>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</si>
  <si>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</si>
  <si>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</si>
  <si>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</si>
  <si>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</si>
  <si>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</si>
  <si>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</si>
  <si>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</si>
  <si>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</si>
  <si>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</si>
  <si>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</si>
  <si>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</si>
  <si>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</si>
  <si>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</si>
  <si>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</si>
  <si>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</si>
  <si>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</si>
  <si>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</si>
  <si>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</si>
  <si>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</si>
  <si>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</si>
  <si>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</si>
  <si>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</si>
  <si>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</si>
  <si>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</si>
  <si>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</si>
  <si>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</si>
  <si>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</si>
  <si>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</si>
  <si>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</si>
  <si>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</si>
  <si>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</si>
  <si>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</si>
  <si>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</si>
  <si>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</si>
  <si>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</si>
  <si>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</si>
  <si>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</si>
  <si>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</si>
  <si>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</si>
  <si>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</si>
  <si>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</si>
  <si>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</si>
  <si>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</si>
  <si>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</si>
  <si>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</si>
  <si>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江苏省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</si>
  <si>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</si>
  <si>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</si>
  <si>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</si>
  <si>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</si>
  <si>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</si>
  <si>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</si>
  <si>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</si>
  <si>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</si>
  <si>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</si>
  <si>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</si>
  <si>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</si>
  <si>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</si>
  <si>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</si>
  <si>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</si>
  <si>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</si>
  <si>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</si>
  <si>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</si>
  <si>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</si>
  <si>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</si>
  <si>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</si>
  <si>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</si>
  <si>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</si>
  <si>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</si>
  <si>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</si>
  <si>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</si>
  <si>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</si>
  <si>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</si>
  <si>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</si>
  <si>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</si>
  <si>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</si>
  <si>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</si>
  <si>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</si>
  <si>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</si>
  <si>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</si>
  <si>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</si>
  <si>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</si>
  <si>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</si>
  <si>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</si>
  <si>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徐州经济技术开发区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</si>
  <si>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</si>
  <si>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</si>
  <si>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</si>
  <si>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</si>
  <si>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</si>
  <si>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</si>
  <si>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</si>
  <si>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</si>
  <si>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</si>
  <si>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</si>
  <si>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</si>
  <si>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</si>
  <si>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</si>
  <si>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苏州工业园区</t>
  </si>
  <si>
    <t>常熟市</t>
  </si>
  <si>
    <t>张家港市</t>
  </si>
  <si>
    <t>昆山市</t>
  </si>
  <si>
    <t>太仓市</t>
  </si>
  <si>
    <t>通州区</t>
  </si>
  <si>
    <t>崇川区</t>
  </si>
  <si>
    <t>海门区</t>
  </si>
  <si>
    <t>如东县</t>
  </si>
  <si>
    <t>南通经济技术开发区</t>
  </si>
  <si>
    <t>启东市</t>
  </si>
  <si>
    <t>如皋市</t>
  </si>
  <si>
    <t>海安市</t>
  </si>
  <si>
    <t>连云区</t>
  </si>
  <si>
    <t>海州区</t>
  </si>
  <si>
    <t>赣榆区</t>
  </si>
  <si>
    <t>东海县</t>
  </si>
  <si>
    <t>灌云县</t>
  </si>
  <si>
    <t>灌南县</t>
  </si>
  <si>
    <t>连云港经济技术开发区</t>
  </si>
  <si>
    <t>连云港高新技术产业开发区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</si>
  <si>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</si>
  <si>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</si>
  <si>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</si>
  <si>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</si>
  <si>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</si>
  <si>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</si>
  <si>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</si>
  <si>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淮安经济技术开发区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</si>
  <si>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</si>
  <si>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</si>
  <si>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</si>
  <si>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</si>
  <si>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</si>
  <si>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</si>
  <si>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</si>
  <si>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</si>
  <si>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盐城经济技术开发区</t>
  </si>
  <si>
    <t>东台市</t>
  </si>
  <si>
    <t>广陵区</t>
  </si>
  <si>
    <t>邗江区</t>
  </si>
  <si>
    <t>江都区</t>
  </si>
  <si>
    <t>宝应县</t>
  </si>
  <si>
    <t>扬州经济技术开发区</t>
  </si>
  <si>
    <t>仪征市</t>
  </si>
  <si>
    <t>高邮市</t>
  </si>
  <si>
    <t>京口区</t>
  </si>
  <si>
    <t>润州区</t>
  </si>
  <si>
    <t>丹徒区</t>
  </si>
  <si>
    <t>镇江新区</t>
  </si>
  <si>
    <t>丹阳市</t>
  </si>
  <si>
    <t>扬中市</t>
  </si>
  <si>
    <t>句容市</t>
  </si>
  <si>
    <t>海陵区</t>
  </si>
  <si>
    <t>高港区</t>
  </si>
  <si>
    <t>姜堰区</t>
  </si>
  <si>
    <t>泰州医药高新技术产业开发区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</si>
  <si>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</si>
  <si>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</si>
  <si>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</si>
  <si>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</si>
  <si>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</si>
  <si>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</si>
  <si>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</si>
  <si>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</si>
  <si>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宿迁经济技术开发区</t>
  </si>
  <si>
    <t>福建省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</si>
  <si>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</si>
  <si>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</si>
  <si>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</si>
  <si>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</si>
  <si>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</si>
  <si>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</si>
  <si>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</si>
  <si>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</si>
  <si>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</si>
  <si>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</si>
  <si>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</si>
  <si>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</si>
  <si>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</si>
  <si>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</si>
  <si>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</si>
  <si>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</si>
  <si>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</si>
  <si>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</si>
  <si>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</si>
  <si>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</si>
  <si>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</si>
  <si>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</si>
  <si>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</si>
  <si>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</si>
  <si>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</si>
  <si>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</si>
  <si>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</si>
  <si>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</si>
  <si>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</si>
  <si>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</si>
  <si>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</si>
  <si>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</si>
  <si>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三元区</t>
  </si>
  <si>
    <t>沙县区</t>
  </si>
  <si>
    <t>明溪县</t>
  </si>
  <si>
    <t>清流县</t>
  </si>
  <si>
    <t>宁化县</t>
  </si>
  <si>
    <t>大田县</t>
  </si>
  <si>
    <t>尤溪县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</si>
  <si>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</si>
  <si>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</si>
  <si>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</si>
  <si>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</si>
  <si>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</si>
  <si>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</si>
  <si>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</si>
  <si>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</si>
  <si>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</si>
  <si>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</si>
  <si>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</si>
  <si>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</si>
  <si>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</si>
  <si>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</si>
  <si>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</si>
  <si>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</si>
  <si>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</si>
  <si>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</si>
  <si>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龙海区</t>
  </si>
  <si>
    <t>长泰区</t>
  </si>
  <si>
    <t>云霄县</t>
  </si>
  <si>
    <t>漳浦县</t>
  </si>
  <si>
    <t>诏安县</t>
  </si>
  <si>
    <t>东山县</t>
  </si>
  <si>
    <t>南靖县</t>
  </si>
  <si>
    <t>平和县</t>
  </si>
  <si>
    <t>华安县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</si>
  <si>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</si>
  <si>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</si>
  <si>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</si>
  <si>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</si>
  <si>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</si>
  <si>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</si>
  <si>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</si>
  <si>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</si>
  <si>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</si>
  <si>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</si>
  <si>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</si>
  <si>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</si>
  <si>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</si>
  <si>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</si>
  <si>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</si>
  <si>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</si>
  <si>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</si>
  <si>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</si>
  <si>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</si>
  <si>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</si>
  <si>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</si>
  <si>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</si>
  <si>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</si>
  <si>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</si>
  <si>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</si>
  <si>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四川省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</si>
  <si>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</si>
  <si>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</si>
  <si>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</si>
  <si>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</si>
  <si>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</si>
  <si>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</si>
  <si>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</si>
  <si>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</si>
  <si>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</si>
  <si>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</si>
  <si>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</si>
  <si>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</si>
  <si>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</si>
  <si>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</si>
  <si>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</si>
  <si>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</si>
  <si>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</si>
  <si>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</si>
  <si>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阿坝藏族羌族自治州</t>
  </si>
  <si>
    <t>甘孜藏族自治州</t>
  </si>
  <si>
    <t>凉山彝族自治州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</si>
  <si>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</si>
  <si>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</si>
  <si>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</si>
  <si>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</si>
  <si>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</si>
  <si>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</si>
  <si>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</si>
  <si>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</si>
  <si>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</si>
  <si>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</si>
  <si>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</si>
  <si>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新津区</t>
  </si>
  <si>
    <t>金堂县</t>
  </si>
  <si>
    <t>大邑县</t>
  </si>
  <si>
    <t>蒲江县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</si>
  <si>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</si>
  <si>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</si>
  <si>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</si>
  <si>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</si>
  <si>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</si>
  <si>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</si>
  <si>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</si>
  <si>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</si>
  <si>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</si>
  <si>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</si>
  <si>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</si>
  <si>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</si>
  <si>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</si>
  <si>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</si>
  <si>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</si>
  <si>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</si>
  <si>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</si>
  <si>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</si>
  <si>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</si>
  <si>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</si>
  <si>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</si>
  <si>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</si>
  <si>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</si>
  <si>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</si>
  <si>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</si>
  <si>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</si>
  <si>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</si>
  <si>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</si>
  <si>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</si>
  <si>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</si>
  <si>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</si>
  <si>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</si>
  <si>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</si>
  <si>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</si>
  <si>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</si>
  <si>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</si>
  <si>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</si>
  <si>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</si>
  <si>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</si>
  <si>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</si>
  <si>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</si>
  <si>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</si>
  <si>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</si>
  <si>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</si>
  <si>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</si>
  <si>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</si>
  <si>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</si>
  <si>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</si>
  <si>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大英县</t>
  </si>
  <si>
    <t>射洪市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</si>
  <si>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</si>
  <si>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</si>
  <si>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</si>
  <si>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</si>
  <si>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</si>
  <si>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</si>
  <si>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</si>
  <si>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</si>
  <si>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</si>
  <si>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</si>
  <si>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</si>
  <si>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</si>
  <si>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</si>
  <si>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</si>
  <si>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</si>
  <si>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</si>
  <si>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</si>
  <si>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</si>
  <si>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</si>
  <si>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</si>
  <si>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</si>
  <si>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</si>
  <si>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</si>
  <si>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</si>
  <si>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</si>
  <si>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</si>
  <si>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</si>
  <si>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</si>
  <si>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</si>
  <si>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</si>
  <si>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</si>
  <si>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</si>
  <si>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</si>
  <si>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</si>
  <si>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</si>
  <si>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</si>
  <si>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</si>
  <si>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</si>
  <si>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</si>
  <si>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</si>
  <si>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</si>
  <si>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</si>
  <si>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</si>
  <si>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</si>
  <si>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</si>
  <si>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</si>
  <si>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</si>
  <si>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</si>
  <si>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</si>
  <si>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</si>
  <si>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</si>
  <si>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</si>
  <si>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</si>
  <si>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</si>
  <si>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</si>
  <si>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</si>
  <si>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</si>
  <si>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</si>
  <si>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</si>
  <si>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</si>
  <si>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</si>
  <si>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</si>
  <si>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</si>
  <si>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</si>
  <si>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</si>
  <si>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</si>
  <si>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</si>
  <si>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</si>
  <si>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</si>
  <si>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</si>
  <si>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</si>
  <si>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</si>
  <si>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</si>
  <si>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</si>
  <si>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</si>
  <si>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</si>
  <si>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</si>
  <si>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</si>
  <si>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</si>
  <si>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</si>
  <si>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</si>
  <si>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</si>
  <si>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</si>
  <si>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</si>
  <si>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</si>
  <si>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</si>
  <si>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</si>
  <si>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</si>
  <si>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</si>
  <si>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</si>
  <si>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</si>
  <si>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</si>
  <si>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</si>
  <si>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</si>
  <si>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</si>
  <si>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</si>
  <si>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</si>
  <si>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</si>
  <si>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</si>
  <si>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</si>
  <si>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会理市</t>
  </si>
  <si>
    <t>木里藏族自治县</t>
  </si>
  <si>
    <t>盐源县</t>
  </si>
  <si>
    <t>德昌县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</si>
  <si>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</si>
  <si>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</si>
  <si>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</si>
  <si>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</si>
  <si>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</si>
  <si>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</si>
  <si>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</si>
  <si>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</si>
  <si>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</si>
  <si>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</si>
  <si>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</si>
  <si>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</si>
  <si>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河南省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</si>
  <si>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</si>
  <si>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</si>
  <si>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</si>
  <si>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</si>
  <si>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</si>
  <si>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</si>
  <si>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</si>
  <si>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</si>
  <si>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</si>
  <si>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</si>
  <si>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</si>
  <si>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</si>
  <si>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</si>
  <si>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</si>
  <si>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</si>
  <si>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</si>
  <si>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</si>
  <si>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省直辖县级行政区划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</si>
  <si>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</si>
  <si>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</si>
  <si>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</si>
  <si>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</si>
  <si>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</si>
  <si>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</si>
  <si>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</si>
  <si>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郑州经济技术开发区</t>
  </si>
  <si>
    <t>郑州高新技术产业开发区</t>
  </si>
  <si>
    <t>郑州航空港经济综合实验区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</si>
  <si>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</si>
  <si>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</si>
  <si>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</si>
  <si>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</si>
  <si>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</si>
  <si>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</si>
  <si>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</si>
  <si>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</si>
  <si>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</si>
  <si>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</si>
  <si>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</si>
  <si>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</si>
  <si>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</si>
  <si>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</si>
  <si>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</si>
  <si>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</si>
  <si>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</si>
  <si>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偃师区</t>
  </si>
  <si>
    <t>孟津区</t>
  </si>
  <si>
    <t>洛龙区</t>
  </si>
  <si>
    <t>新安县</t>
  </si>
  <si>
    <t>栾川县</t>
  </si>
  <si>
    <t>嵩县</t>
  </si>
  <si>
    <t>汝阳县</t>
  </si>
  <si>
    <t>宜阳县</t>
  </si>
  <si>
    <t>洛宁县</t>
  </si>
  <si>
    <t>伊川县</t>
  </si>
  <si>
    <t>洛阳高新技术产业开发区</t>
  </si>
  <si>
    <t>卫东区</t>
  </si>
  <si>
    <t>石龙区</t>
  </si>
  <si>
    <t>湛河区</t>
  </si>
  <si>
    <t>宝丰县</t>
  </si>
  <si>
    <t>叶县</t>
  </si>
  <si>
    <t>鲁山县</t>
  </si>
  <si>
    <t>郏县</t>
  </si>
  <si>
    <t>平顶山高新技术产业开发区</t>
  </si>
  <si>
    <t>平顶山市城乡一体化示范区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</si>
  <si>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</si>
  <si>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</si>
  <si>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</si>
  <si>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</si>
  <si>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</si>
  <si>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</si>
  <si>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</si>
  <si>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</si>
  <si>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</si>
  <si>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</si>
  <si>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安阳高新技术产业开发区</t>
  </si>
  <si>
    <t>林州市</t>
  </si>
  <si>
    <t>鹤山区</t>
  </si>
  <si>
    <t>山城区</t>
  </si>
  <si>
    <t>淇滨区</t>
  </si>
  <si>
    <t>浚县</t>
  </si>
  <si>
    <t>淇县</t>
  </si>
  <si>
    <t>鹤壁经济技术开发区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</si>
  <si>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</si>
  <si>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</si>
  <si>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</si>
  <si>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</si>
  <si>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</si>
  <si>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</si>
  <si>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</si>
  <si>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</si>
  <si>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</si>
  <si>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新乡高新技术产业开发区</t>
  </si>
  <si>
    <t>新乡经济技术开发区</t>
  </si>
  <si>
    <t>新乡市平原城乡一体化示范区</t>
  </si>
  <si>
    <t>卫辉市</t>
  </si>
  <si>
    <t>辉县市</t>
  </si>
  <si>
    <t>长垣市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</si>
  <si>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</si>
  <si>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</si>
  <si>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</si>
  <si>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</si>
  <si>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</si>
  <si>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</si>
  <si>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</si>
  <si>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</si>
  <si>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焦作城乡一体化示范区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</si>
  <si>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</si>
  <si>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</si>
  <si>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</si>
  <si>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</si>
  <si>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</si>
  <si>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</si>
  <si>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</si>
  <si>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</si>
  <si>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河南濮阳工业园区</t>
  </si>
  <si>
    <t>濮阳经济技术开发区</t>
  </si>
  <si>
    <t>魏都区</t>
  </si>
  <si>
    <t>建安区</t>
  </si>
  <si>
    <t>鄢陵县</t>
  </si>
  <si>
    <t>襄城县</t>
  </si>
  <si>
    <t>许昌经济技术开发区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</si>
  <si>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</si>
  <si>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</si>
  <si>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</si>
  <si>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</si>
  <si>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</si>
  <si>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</si>
  <si>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</si>
  <si>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漯河经济技术开发区</t>
  </si>
  <si>
    <t>湖滨区</t>
  </si>
  <si>
    <t>陕州区</t>
  </si>
  <si>
    <t>渑池县</t>
  </si>
  <si>
    <t>卢氏县</t>
  </si>
  <si>
    <t>河南三门峡经济开发区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</si>
  <si>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</si>
  <si>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</si>
  <si>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</si>
  <si>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</si>
  <si>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</si>
  <si>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</si>
  <si>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</si>
  <si>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</si>
  <si>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</si>
  <si>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</si>
  <si>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</si>
  <si>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</si>
  <si>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</si>
  <si>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</si>
  <si>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南阳高新技术产业开发区</t>
  </si>
  <si>
    <t>南阳市城乡一体化示范区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</si>
  <si>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</si>
  <si>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</si>
  <si>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</si>
  <si>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</si>
  <si>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</si>
  <si>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</si>
  <si>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</si>
  <si>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</si>
  <si>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</si>
  <si>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豫东综合物流产业聚集区</t>
  </si>
  <si>
    <t>河南商丘经济开发区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</si>
  <si>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</si>
  <si>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</si>
  <si>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</si>
  <si>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</si>
  <si>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</si>
  <si>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</si>
  <si>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</si>
  <si>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</si>
  <si>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</si>
  <si>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</si>
  <si>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</si>
  <si>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信阳高新技术产业开发区</t>
  </si>
  <si>
    <t>川汇区</t>
  </si>
  <si>
    <t>淮阳区</t>
  </si>
  <si>
    <t>扶沟县</t>
  </si>
  <si>
    <t>西华县</t>
  </si>
  <si>
    <t>商水县</t>
  </si>
  <si>
    <t>沈丘县</t>
  </si>
  <si>
    <t>郸城县</t>
  </si>
  <si>
    <t>太康县</t>
  </si>
  <si>
    <t>鹿邑县</t>
  </si>
  <si>
    <t>河南周口经济开发区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</si>
  <si>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</si>
  <si>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</si>
  <si>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</si>
  <si>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</si>
  <si>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</si>
  <si>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</si>
  <si>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</si>
  <si>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</si>
  <si>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</si>
  <si>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</si>
  <si>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</si>
  <si>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河南驻马店经济开发区</t>
  </si>
  <si>
    <t>济源市</t>
  </si>
  <si>
    <t>内蒙古自治区</t>
  </si>
  <si>
    <t>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</si>
  <si>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</si>
  <si>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</si>
  <si>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</si>
  <si>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</si>
  <si>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</si>
  <si>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</si>
  <si>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</si>
  <si>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</si>
  <si>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兴安盟</t>
  </si>
  <si>
    <t>锡林郭勒盟</t>
  </si>
  <si>
    <t>阿拉善盟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</si>
  <si>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</si>
  <si>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</si>
  <si>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</si>
  <si>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</si>
  <si>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</si>
  <si>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</si>
  <si>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</si>
  <si>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</si>
  <si>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</si>
  <si>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呼和浩特经济技术开发区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</si>
  <si>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</si>
  <si>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</si>
  <si>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</si>
  <si>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</si>
  <si>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</si>
  <si>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</si>
  <si>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</si>
  <si>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</si>
  <si>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</si>
  <si>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包头稀土高新技术产业开发区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</si>
  <si>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</si>
  <si>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</si>
  <si>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</si>
  <si>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</si>
  <si>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</si>
  <si>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</si>
  <si>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</si>
  <si>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</si>
  <si>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</si>
  <si>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</si>
  <si>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</si>
  <si>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</si>
  <si>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</si>
  <si>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</si>
  <si>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</si>
  <si>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</si>
  <si>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</si>
  <si>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</si>
  <si>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</si>
  <si>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</si>
  <si>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</si>
  <si>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</si>
  <si>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通辽经济技术开发区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</si>
  <si>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</si>
  <si>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</si>
  <si>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</si>
  <si>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</si>
  <si>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</si>
  <si>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</si>
  <si>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</si>
  <si>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</si>
  <si>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</si>
  <si>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</si>
  <si>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</si>
  <si>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</si>
  <si>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</si>
  <si>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</si>
  <si>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</si>
  <si>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</si>
  <si>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</si>
  <si>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</si>
  <si>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</si>
  <si>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</si>
  <si>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</si>
  <si>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</si>
  <si>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</si>
  <si>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</si>
  <si>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</si>
  <si>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</si>
  <si>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</si>
  <si>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</si>
  <si>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</si>
  <si>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</si>
  <si>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</si>
  <si>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</si>
  <si>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</si>
  <si>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</si>
  <si>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</si>
  <si>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</si>
  <si>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</si>
  <si>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</si>
  <si>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</si>
  <si>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</si>
  <si>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</si>
  <si>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</si>
  <si>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</si>
  <si>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</si>
  <si>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</si>
  <si>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</si>
  <si>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</si>
  <si>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</si>
  <si>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</si>
  <si>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</si>
  <si>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</si>
  <si>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</si>
  <si>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</si>
  <si>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</si>
  <si>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</si>
  <si>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</si>
  <si>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</si>
  <si>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</si>
  <si>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</si>
  <si>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</si>
  <si>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乌拉盖管委会</t>
  </si>
  <si>
    <t>阿拉善左旗</t>
  </si>
  <si>
    <t>阿拉善右旗</t>
  </si>
  <si>
    <t>额济纳旗</t>
  </si>
  <si>
    <t>内蒙古阿拉善高新技术产业开发区</t>
  </si>
  <si>
    <t>吉林省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</si>
  <si>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</si>
  <si>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</si>
  <si>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</si>
  <si>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</si>
  <si>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</si>
  <si>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</si>
  <si>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</si>
  <si>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</si>
  <si>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延边朝鲜族自治州</t>
  </si>
  <si>
    <t>南关区</t>
  </si>
  <si>
    <t>宽城区</t>
  </si>
  <si>
    <t>朝阳区</t>
  </si>
  <si>
    <t>二道区</t>
  </si>
  <si>
    <t>绿园区</t>
  </si>
  <si>
    <t>双阳区</t>
  </si>
  <si>
    <t>九台区</t>
  </si>
  <si>
    <t>农安县</t>
  </si>
  <si>
    <t>长春经济技术开发区</t>
  </si>
  <si>
    <t>长春净月高新技术产业开发区</t>
  </si>
  <si>
    <t>长春高新技术产业开发区</t>
  </si>
  <si>
    <t>长春汽车经济技术开发区</t>
  </si>
  <si>
    <t>榆树市</t>
  </si>
  <si>
    <t>德惠市</t>
  </si>
  <si>
    <t>公主岭市</t>
  </si>
  <si>
    <t>昌邑区</t>
  </si>
  <si>
    <t>龙潭区</t>
  </si>
  <si>
    <t>船营区</t>
  </si>
  <si>
    <t>丰满区</t>
  </si>
  <si>
    <t>永吉县</t>
  </si>
  <si>
    <t>吉林经济开发区</t>
  </si>
  <si>
    <t>吉林高新技术产业开发区</t>
  </si>
  <si>
    <t>吉林中国新加坡食品区</t>
  </si>
  <si>
    <t>蛟河市</t>
  </si>
  <si>
    <t>桦甸市</t>
  </si>
  <si>
    <t>舒兰市</t>
  </si>
  <si>
    <t>磐石市</t>
  </si>
  <si>
    <t>铁西区</t>
  </si>
  <si>
    <t>铁东区</t>
  </si>
  <si>
    <t>梨树县</t>
  </si>
  <si>
    <t>伊通满族自治县</t>
  </si>
  <si>
    <t>双辽市</t>
  </si>
  <si>
    <t>龙山区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</si>
  <si>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</si>
  <si>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</si>
  <si>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</si>
  <si>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</si>
  <si>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</si>
  <si>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</si>
  <si>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</si>
  <si>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</si>
  <si>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</si>
  <si>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</si>
  <si>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</si>
  <si>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</si>
  <si>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</si>
  <si>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</si>
  <si>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</si>
  <si>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</si>
  <si>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</si>
  <si>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</si>
  <si>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</si>
  <si>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吉林松原经济开发区</t>
  </si>
  <si>
    <t>扶余市</t>
  </si>
  <si>
    <t>洮北区</t>
  </si>
  <si>
    <t>镇赉县</t>
  </si>
  <si>
    <t>通榆县</t>
  </si>
  <si>
    <t>吉林白城经济开发区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</si>
  <si>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</si>
  <si>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</si>
  <si>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</si>
  <si>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</si>
  <si>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</si>
  <si>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</si>
  <si>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</si>
  <si>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</si>
  <si>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</si>
  <si>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</si>
  <si>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云南省</t>
  </si>
  <si>
    <t>昆明市</t>
  </si>
  <si>
    <t>曲靖市</t>
  </si>
  <si>
    <t>玉溪市</t>
  </si>
  <si>
    <t>保山市</t>
  </si>
  <si>
    <t>昭通市</t>
  </si>
  <si>
    <t>丽江市</t>
  </si>
  <si>
    <t>普洱市</t>
  </si>
  <si>
    <t>临沧市</t>
  </si>
  <si>
    <t>楚雄彝族自治州</t>
  </si>
  <si>
    <t>红河哈尼族彝族自治州</t>
  </si>
  <si>
    <t>文山壮族苗族自治州</t>
  </si>
  <si>
    <t>西双版纳傣族自治州</t>
  </si>
  <si>
    <t>大理白族自治州</t>
  </si>
  <si>
    <t>德宏傣族景颇族自治州</t>
  </si>
  <si>
    <t>怒江傈僳族自治州</t>
  </si>
  <si>
    <t>迪庆藏族自治州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</si>
  <si>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</si>
  <si>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</si>
  <si>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</si>
  <si>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</si>
  <si>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</si>
  <si>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</si>
  <si>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</si>
  <si>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</si>
  <si>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</si>
  <si>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</si>
  <si>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</si>
  <si>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</si>
  <si>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</si>
  <si>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</si>
  <si>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</si>
  <si>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</si>
  <si>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</si>
  <si>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</si>
  <si>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</si>
  <si>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</si>
  <si>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</si>
  <si>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</si>
  <si>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</si>
  <si>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</si>
  <si>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</si>
  <si>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</si>
  <si>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</si>
  <si>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</si>
  <si>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</si>
  <si>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</si>
  <si>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</si>
  <si>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澄江市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</si>
  <si>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</si>
  <si>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</si>
  <si>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</si>
  <si>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</si>
  <si>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</si>
  <si>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</si>
  <si>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</si>
  <si>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</si>
  <si>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</si>
  <si>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</si>
  <si>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</si>
  <si>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</si>
  <si>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</si>
  <si>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</si>
  <si>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</si>
  <si>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</si>
  <si>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</si>
  <si>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</si>
  <si>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</si>
  <si>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</si>
  <si>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</si>
  <si>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</si>
  <si>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</si>
  <si>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</si>
  <si>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</si>
  <si>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</si>
  <si>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</si>
  <si>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</si>
  <si>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</si>
  <si>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</si>
  <si>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</si>
  <si>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</si>
  <si>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</si>
  <si>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</si>
  <si>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</si>
  <si>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</si>
  <si>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</si>
  <si>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</si>
  <si>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</si>
  <si>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</si>
  <si>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禄丰市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</si>
  <si>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</si>
  <si>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</si>
  <si>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</si>
  <si>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</si>
  <si>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</si>
  <si>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</si>
  <si>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</si>
  <si>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</si>
  <si>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</si>
  <si>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</si>
  <si>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</si>
  <si>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</si>
  <si>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</si>
  <si>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</si>
  <si>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</si>
  <si>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</si>
  <si>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</si>
  <si>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</si>
  <si>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</si>
  <si>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</si>
  <si>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</si>
  <si>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</si>
  <si>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</si>
  <si>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</si>
  <si>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</si>
  <si>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</si>
  <si>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</si>
  <si>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</si>
  <si>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</si>
  <si>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</si>
  <si>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</si>
  <si>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</si>
  <si>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</si>
  <si>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</si>
  <si>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</si>
  <si>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</si>
  <si>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</si>
  <si>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</si>
  <si>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</si>
  <si>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</si>
  <si>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</si>
  <si>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</si>
  <si>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</si>
  <si>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</si>
  <si>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</si>
  <si>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</si>
  <si>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</si>
  <si>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</si>
  <si>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</si>
  <si>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</si>
  <si>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</si>
  <si>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</si>
  <si>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</si>
  <si>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</si>
  <si>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</si>
  <si>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</si>
  <si>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陕西省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</si>
  <si>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</si>
  <si>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</si>
  <si>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</si>
  <si>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</si>
  <si>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</si>
  <si>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</si>
  <si>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</si>
  <si>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</si>
  <si>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</si>
  <si>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</si>
  <si>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</si>
  <si>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</si>
  <si>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</si>
  <si>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</si>
  <si>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</si>
  <si>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</si>
  <si>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</si>
  <si>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</si>
  <si>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</si>
  <si>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</si>
  <si>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</si>
  <si>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</si>
  <si>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</si>
  <si>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</si>
  <si>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</si>
  <si>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</si>
  <si>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</si>
  <si>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</si>
  <si>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凤翔区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</si>
  <si>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</si>
  <si>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</si>
  <si>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</si>
  <si>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</si>
  <si>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</si>
  <si>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</si>
  <si>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</si>
  <si>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</si>
  <si>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</si>
  <si>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</si>
  <si>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</si>
  <si>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</si>
  <si>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</si>
  <si>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</si>
  <si>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</si>
  <si>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</si>
  <si>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</si>
  <si>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</si>
  <si>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</si>
  <si>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</si>
  <si>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</si>
  <si>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</si>
  <si>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</si>
  <si>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</si>
  <si>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</si>
  <si>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</si>
  <si>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</si>
  <si>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</si>
  <si>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</si>
  <si>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</si>
  <si>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</si>
  <si>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</si>
  <si>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</si>
  <si>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</si>
  <si>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</si>
  <si>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</si>
  <si>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</si>
  <si>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</si>
  <si>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</si>
  <si>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</si>
  <si>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</si>
  <si>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</si>
  <si>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</si>
  <si>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</si>
  <si>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</si>
  <si>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子长市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</si>
  <si>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</si>
  <si>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</si>
  <si>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</si>
  <si>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</si>
  <si>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</si>
  <si>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</si>
  <si>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</si>
  <si>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</si>
  <si>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</si>
  <si>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</si>
  <si>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</si>
  <si>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</si>
  <si>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</si>
  <si>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</si>
  <si>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</si>
  <si>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</si>
  <si>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</si>
  <si>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</si>
  <si>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</si>
  <si>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</si>
  <si>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</si>
  <si>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</si>
  <si>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</si>
  <si>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</si>
  <si>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</si>
  <si>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</si>
  <si>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</si>
  <si>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</si>
  <si>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</si>
  <si>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</si>
  <si>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</si>
  <si>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白河县</t>
  </si>
  <si>
    <t>旬阳市</t>
  </si>
  <si>
    <t>商州区</t>
  </si>
  <si>
    <t>洛南县</t>
  </si>
  <si>
    <t>丹凤县</t>
  </si>
  <si>
    <t>商南县</t>
  </si>
  <si>
    <t>山阳县</t>
  </si>
  <si>
    <t>镇安县</t>
  </si>
  <si>
    <t>柞水县</t>
  </si>
  <si>
    <t>重庆市</t>
  </si>
  <si>
    <t>县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</si>
  <si>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</si>
  <si>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</si>
  <si>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</si>
  <si>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</si>
  <si>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</si>
  <si>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</si>
  <si>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</si>
  <si>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</si>
  <si>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</si>
  <si>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</si>
  <si>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</si>
  <si>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</si>
  <si>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</si>
  <si>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</si>
  <si>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</si>
  <si>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</si>
  <si>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</si>
  <si>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</si>
  <si>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</si>
  <si>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</si>
  <si>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</si>
  <si>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</si>
  <si>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</si>
  <si>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</si>
  <si>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</si>
  <si>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</si>
  <si>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</si>
  <si>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</si>
  <si>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</si>
  <si>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</si>
  <si>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</si>
  <si>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</si>
  <si>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</si>
  <si>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</si>
  <si>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</si>
  <si>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</si>
  <si>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</si>
  <si>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天津市</t>
  </si>
  <si>
    <t>和平区</t>
  </si>
  <si>
    <t>河西区</t>
  </si>
  <si>
    <t>南开区</t>
  </si>
  <si>
    <t>河北区</t>
  </si>
  <si>
    <t>红桥区</t>
  </si>
  <si>
    <t>东丽区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</si>
  <si>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</si>
  <si>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</si>
  <si>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</si>
  <si>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</si>
  <si>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</si>
  <si>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</si>
  <si>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</si>
  <si>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</si>
  <si>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</si>
  <si>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海南省</t>
  </si>
  <si>
    <t>海口市</t>
  </si>
  <si>
    <t>三亚市</t>
  </si>
  <si>
    <t>三沙市</t>
  </si>
  <si>
    <t>儋州市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</si>
  <si>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</si>
  <si>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</si>
  <si>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</si>
  <si>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</si>
  <si>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</si>
  <si>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</si>
  <si>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</si>
  <si>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</si>
  <si>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</si>
  <si>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</si>
  <si>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五指山市</t>
  </si>
  <si>
    <t>琼海市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</si>
  <si>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</si>
  <si>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</si>
  <si>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</si>
  <si>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</si>
  <si>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</si>
  <si>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</si>
  <si>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</si>
  <si>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</si>
  <si>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</si>
  <si>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</si>
  <si>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</si>
  <si>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</si>
  <si>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</si>
  <si>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广西壮族自治区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</si>
  <si>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</si>
  <si>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</si>
  <si>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</si>
  <si>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</si>
  <si>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</si>
  <si>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</si>
  <si>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</si>
  <si>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</si>
  <si>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</si>
  <si>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</si>
  <si>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</si>
  <si>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</si>
  <si>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</si>
  <si>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</si>
  <si>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</si>
  <si>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</si>
  <si>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</si>
  <si>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</si>
  <si>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</si>
  <si>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</si>
  <si>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</si>
  <si>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</si>
  <si>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</si>
  <si>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</si>
  <si>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</si>
  <si>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横州市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</si>
  <si>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</si>
  <si>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</si>
  <si>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</si>
  <si>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</si>
  <si>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</si>
  <si>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</si>
  <si>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</si>
  <si>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</si>
  <si>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</si>
  <si>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</si>
  <si>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</si>
  <si>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</si>
  <si>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</si>
  <si>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</si>
  <si>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</si>
  <si>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</si>
  <si>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</si>
  <si>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</si>
  <si>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</si>
  <si>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</si>
  <si>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</si>
  <si>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</si>
  <si>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</si>
  <si>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</si>
  <si>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恭城瑶族自治县</t>
  </si>
  <si>
    <t>荔浦市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</si>
  <si>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</si>
  <si>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</si>
  <si>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</si>
  <si>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</si>
  <si>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</si>
  <si>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</si>
  <si>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</si>
  <si>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</si>
  <si>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</si>
  <si>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</si>
  <si>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</si>
  <si>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</si>
  <si>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</si>
  <si>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</si>
  <si>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</si>
  <si>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</si>
  <si>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</si>
  <si>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</si>
  <si>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</si>
  <si>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</si>
  <si>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</si>
  <si>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</si>
  <si>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</si>
  <si>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</si>
  <si>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</si>
  <si>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</si>
  <si>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</si>
  <si>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</si>
  <si>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</si>
  <si>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</si>
  <si>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</si>
  <si>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</si>
  <si>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田阳区</t>
  </si>
  <si>
    <t>田东县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</si>
  <si>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</si>
  <si>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</si>
  <si>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</si>
  <si>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</si>
  <si>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</si>
  <si>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</si>
  <si>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</si>
  <si>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</si>
  <si>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平果市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</si>
  <si>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</si>
  <si>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</si>
  <si>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</si>
  <si>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</si>
  <si>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</si>
  <si>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</si>
  <si>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</si>
  <si>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</si>
  <si>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</si>
  <si>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</si>
  <si>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</si>
  <si>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</si>
  <si>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</si>
  <si>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</si>
  <si>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</si>
  <si>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</si>
  <si>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</si>
  <si>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</si>
  <si>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</si>
  <si>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</si>
  <si>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</si>
  <si>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</si>
  <si>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</si>
  <si>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</si>
  <si>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</si>
  <si>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</si>
  <si>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</si>
  <si>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</si>
  <si>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</si>
  <si>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湖北省</t>
  </si>
  <si>
    <t>武汉市</t>
  </si>
  <si>
    <t>黄石市</t>
  </si>
  <si>
    <t>十堰市</t>
  </si>
  <si>
    <t>宜昌市</t>
  </si>
  <si>
    <t>襄阳市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</si>
  <si>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</si>
  <si>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</si>
  <si>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</si>
  <si>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</si>
  <si>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</si>
  <si>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</si>
  <si>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</si>
  <si>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恩施土家族苗族自治州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</si>
  <si>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</si>
  <si>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</si>
  <si>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</si>
  <si>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</si>
  <si>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</si>
  <si>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</si>
  <si>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</si>
  <si>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</si>
  <si>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</si>
  <si>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</si>
  <si>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</si>
  <si>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</si>
  <si>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</si>
  <si>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</si>
  <si>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</si>
  <si>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</si>
  <si>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</si>
  <si>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</si>
  <si>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</si>
  <si>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</si>
  <si>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</si>
  <si>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</si>
  <si>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</si>
  <si>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</si>
  <si>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</si>
  <si>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</si>
  <si>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</si>
  <si>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</si>
  <si>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</si>
  <si>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</si>
  <si>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</si>
  <si>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</si>
  <si>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</si>
  <si>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</si>
  <si>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</si>
  <si>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</si>
  <si>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</si>
  <si>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</si>
  <si>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</si>
  <si>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</si>
  <si>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</si>
  <si>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</si>
  <si>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</si>
  <si>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</si>
  <si>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</si>
  <si>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</si>
  <si>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</si>
  <si>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</si>
  <si>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</si>
  <si>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</si>
  <si>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</si>
  <si>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</si>
  <si>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</si>
  <si>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</si>
  <si>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</si>
  <si>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</si>
  <si>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</si>
  <si>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</si>
  <si>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</si>
  <si>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</si>
  <si>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</si>
  <si>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</si>
  <si>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</si>
  <si>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</si>
  <si>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</si>
  <si>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</si>
  <si>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江陵县</t>
  </si>
  <si>
    <t>荆州经济技术开发区</t>
  </si>
  <si>
    <t>石首市</t>
  </si>
  <si>
    <t>洪湖市</t>
  </si>
  <si>
    <t>松滋市</t>
  </si>
  <si>
    <t>监利市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</si>
  <si>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</si>
  <si>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</si>
  <si>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</si>
  <si>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</si>
  <si>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</si>
  <si>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</si>
  <si>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</si>
  <si>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</si>
  <si>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龙感湖管理区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</si>
  <si>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</si>
  <si>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</si>
  <si>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</si>
  <si>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</si>
  <si>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</si>
  <si>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</si>
  <si>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</si>
  <si>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</si>
  <si>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</si>
  <si>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</si>
  <si>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</si>
  <si>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</si>
  <si>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</si>
  <si>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</si>
  <si>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</si>
  <si>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</si>
  <si>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</si>
  <si>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</si>
  <si>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</si>
  <si>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仙桃市</t>
  </si>
  <si>
    <t>潜江市</t>
  </si>
  <si>
    <t>天门市</t>
  </si>
  <si>
    <t>神农架林区</t>
  </si>
  <si>
    <t>北京市</t>
  </si>
  <si>
    <t>东城区</t>
  </si>
  <si>
    <t>西城区</t>
  </si>
  <si>
    <t>丰台区</t>
  </si>
  <si>
    <t>石景山区</t>
  </si>
  <si>
    <t>海淀区</t>
  </si>
  <si>
    <t>门头沟区</t>
  </si>
  <si>
    <t>房山区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</si>
  <si>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</si>
  <si>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</si>
  <si>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</si>
  <si>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</si>
  <si>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</si>
  <si>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</si>
  <si>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</si>
  <si>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辽宁省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</si>
  <si>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</si>
  <si>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</si>
  <si>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</si>
  <si>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</si>
  <si>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</si>
  <si>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</si>
  <si>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</si>
  <si>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</si>
  <si>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</si>
  <si>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</si>
  <si>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</si>
  <si>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</si>
  <si>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</si>
  <si>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</si>
  <si>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沈河区</t>
  </si>
  <si>
    <t>大东区</t>
  </si>
  <si>
    <t>皇姑区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</si>
  <si>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</si>
  <si>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</si>
  <si>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</si>
  <si>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</si>
  <si>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</si>
  <si>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</si>
  <si>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</si>
  <si>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</si>
  <si>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</si>
  <si>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</si>
  <si>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</si>
  <si>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</si>
  <si>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</si>
  <si>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</si>
  <si>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</si>
  <si>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</si>
  <si>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</si>
  <si>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</si>
  <si>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</si>
  <si>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</si>
  <si>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</si>
  <si>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</si>
  <si>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</si>
  <si>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</si>
  <si>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</si>
  <si>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</si>
  <si>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</si>
  <si>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</si>
  <si>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</si>
  <si>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</si>
  <si>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</si>
  <si>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</si>
  <si>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</si>
  <si>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</si>
  <si>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</si>
  <si>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</si>
  <si>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</si>
  <si>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</si>
  <si>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</si>
  <si>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</si>
  <si>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</si>
  <si>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</si>
  <si>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</si>
  <si>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</si>
  <si>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</si>
  <si>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</si>
  <si>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</si>
  <si>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</si>
  <si>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</si>
  <si>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</si>
  <si>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</si>
  <si>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</si>
  <si>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</si>
  <si>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</si>
  <si>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</si>
  <si>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</si>
  <si>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</si>
  <si>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</si>
  <si>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</si>
  <si>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</si>
  <si>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</si>
  <si>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</si>
  <si>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</si>
  <si>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</si>
  <si>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</si>
  <si>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</si>
  <si>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</si>
  <si>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</si>
  <si>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</si>
  <si>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</si>
  <si>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</si>
  <si>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</si>
  <si>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</si>
  <si>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</si>
  <si>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</si>
  <si>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</si>
  <si>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</si>
  <si>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</si>
  <si>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</si>
  <si>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</si>
  <si>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</si>
  <si>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</si>
  <si>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</si>
  <si>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</si>
  <si>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</si>
  <si>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</si>
  <si>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</si>
  <si>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</si>
  <si>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</si>
  <si>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</si>
  <si>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</si>
  <si>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</si>
  <si>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甘肃省</t>
  </si>
  <si>
    <t>兰州市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</si>
  <si>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</si>
  <si>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</si>
  <si>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</si>
  <si>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</si>
  <si>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</si>
  <si>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</si>
  <si>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</si>
  <si>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</si>
  <si>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</si>
  <si>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</si>
  <si>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</si>
  <si>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临夏回族自治州</t>
  </si>
  <si>
    <t>甘南藏族自治州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</si>
  <si>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</si>
  <si>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</si>
  <si>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</si>
  <si>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</si>
  <si>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</si>
  <si>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</si>
  <si>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</si>
  <si>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兰州新区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</si>
  <si>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</si>
  <si>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</si>
  <si>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</si>
  <si>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</si>
  <si>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</si>
  <si>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</si>
  <si>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</si>
  <si>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</si>
  <si>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</si>
  <si>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</si>
  <si>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</si>
  <si>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</si>
  <si>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</si>
  <si>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</si>
  <si>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</si>
  <si>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</si>
  <si>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</si>
  <si>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</si>
  <si>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</si>
  <si>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</si>
  <si>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</si>
  <si>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</si>
  <si>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</si>
  <si>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</si>
  <si>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</si>
  <si>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</si>
  <si>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</si>
  <si>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</si>
  <si>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</si>
  <si>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</si>
  <si>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</si>
  <si>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</si>
  <si>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</si>
  <si>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</si>
  <si>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</si>
  <si>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</si>
  <si>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</si>
  <si>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</si>
  <si>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</si>
  <si>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</si>
  <si>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</si>
  <si>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</si>
  <si>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</si>
  <si>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</si>
  <si>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</si>
  <si>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</si>
  <si>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</si>
  <si>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</si>
  <si>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</si>
  <si>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</si>
  <si>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</si>
  <si>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</si>
  <si>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</si>
  <si>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</si>
  <si>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</si>
  <si>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</si>
  <si>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</si>
  <si>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</si>
  <si>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</si>
  <si>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</si>
  <si>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</si>
  <si>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</si>
  <si>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</si>
  <si>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</si>
  <si>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</si>
  <si>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</si>
  <si>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</si>
  <si>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</si>
  <si>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</si>
  <si>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</si>
  <si>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</si>
  <si>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</si>
  <si>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</si>
  <si>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</si>
  <si>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</si>
  <si>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</si>
  <si>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</si>
  <si>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</si>
  <si>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r>
      <rPr/>
      <t xml:space="preserve">Source: </t>
    </r>
    <r>
      <rPr>
        <color rgb="FF1155CC"/>
        <u/>
      </rPr>
      <t>https://www.chinafile.com/official-prc-place-names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</si>
</sst>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Fill="1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hinafile.com/official-prc-place-names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2" t="str">
        <f>IFERROR(__xludf.DUMMYFUNCTION("GOOGLETRANSLATE(A2, ""zh-CN"", ""en"")"),"Xinjiang Uygur Autonomous Region")</f>
        <v>Xinjiang Uygur Autonomous Region</v>
      </c>
      <c r="C2" s="1" t="s">
        <v>8</v>
      </c>
      <c r="D2" s="1" t="str">
        <f>IFERROR(__xludf.DUMMYFUNCTION("GOOGLETRANSLATE(C2, ""zh-CN"", ""en"")"),"Na")</f>
        <v>Na</v>
      </c>
      <c r="E2" s="1" t="s">
        <v>8</v>
      </c>
      <c r="F2" s="1" t="str">
        <f>IFERROR(__xludf.DUMMYFUNCTION("GOOGLETRANSLATE(E2, ""zh-CN"", ""en"")"),"Na")</f>
        <v>Na</v>
      </c>
      <c r="G2" s="1">
        <v>65.0</v>
      </c>
    </row>
    <row r="3">
      <c r="A3" s="1" t="s">
        <v>7</v>
      </c>
      <c r="B3" s="2" t="str">
        <f>IFERROR(__xludf.DUMMYFUNCTION("GOOGLETRANSLATE(A3, ""zh-CN"", ""en"")"),"Xinjiang Uygur Autonomous Region")</f>
        <v>Xinjiang Uygur Autonomous Region</v>
      </c>
      <c r="C3" s="1" t="s">
        <v>9</v>
      </c>
      <c r="D3" s="1" t="str">
        <f>IFERROR(__xludf.DUMMYFUNCTION("GOOGLETRANSLATE(C3, ""zh-CN"", ""en"")"),"Urumqi")</f>
        <v>Urumqi</v>
      </c>
      <c r="E3" s="1" t="s">
        <v>8</v>
      </c>
      <c r="F3" s="1" t="str">
        <f>IFERROR(__xludf.DUMMYFUNCTION("GOOGLETRANSLATE(E3, ""zh-CN"", ""en"")"),"Na")</f>
        <v>Na</v>
      </c>
      <c r="G3" s="1">
        <v>6.501E11</v>
      </c>
    </row>
    <row r="4">
      <c r="A4" s="1" t="s">
        <v>7</v>
      </c>
      <c r="B4" s="2" t="str">
        <f>IFERROR(__xludf.DUMMYFUNCTION("GOOGLETRANSLATE(A4, ""zh-CN"", ""en"")"),"Xinjiang Uygur Autonomous Region")</f>
        <v>Xinjiang Uygur Autonomous Region</v>
      </c>
      <c r="C4" s="1" t="s">
        <v>10</v>
      </c>
      <c r="D4" s="1" t="str">
        <f>IFERROR(__xludf.DUMMYFUNCTION("GOOGLETRANSLATE(C4, ""zh-CN"", ""en"")"),"Karamay")</f>
        <v>Karamay</v>
      </c>
      <c r="E4" s="1" t="s">
        <v>8</v>
      </c>
      <c r="F4" s="1" t="str">
        <f>IFERROR(__xludf.DUMMYFUNCTION("GOOGLETRANSLATE(E4, ""zh-CN"", ""en"")"),"Na")</f>
        <v>Na</v>
      </c>
      <c r="G4" s="1">
        <v>6.502E11</v>
      </c>
    </row>
    <row r="5">
      <c r="A5" s="1" t="s">
        <v>7</v>
      </c>
      <c r="B5" s="2" t="str">
        <f>IFERROR(__xludf.DUMMYFUNCTION("GOOGLETRANSLATE(A5, ""zh-CN"", ""en"")"),"Xinjiang Uygur Autonomous Region")</f>
        <v>Xinjiang Uygur Autonomous Region</v>
      </c>
      <c r="C5" s="1" t="s">
        <v>11</v>
      </c>
      <c r="D5" s="1" t="str">
        <f>IFERROR(__xludf.DUMMYFUNCTION("GOOGLETRANSLATE(C5, ""zh-CN"", ""en"")"),"Turpan City")</f>
        <v>Turpan City</v>
      </c>
      <c r="E5" s="1" t="s">
        <v>8</v>
      </c>
      <c r="F5" s="1" t="str">
        <f>IFERROR(__xludf.DUMMYFUNCTION("GOOGLETRANSLATE(E5, ""zh-CN"", ""en"")"),"Na")</f>
        <v>Na</v>
      </c>
      <c r="G5" s="1">
        <v>6.504E11</v>
      </c>
    </row>
    <row r="6">
      <c r="A6" s="1" t="s">
        <v>7</v>
      </c>
      <c r="B6" s="2" t="str">
        <f>IFERROR(__xludf.DUMMYFUNCTION("GOOGLETRANSLATE(A6, ""zh-CN"", ""en"")"),"Xinjiang Uygur Autonomous Region")</f>
        <v>Xinjiang Uygur Autonomous Region</v>
      </c>
      <c r="C6" s="1" t="s">
        <v>12</v>
      </c>
      <c r="D6" s="1" t="str">
        <f>IFERROR(__xludf.DUMMYFUNCTION("GOOGLETRANSLATE(C6, ""zh-CN"", ""en"")"),"Hami City")</f>
        <v>Hami City</v>
      </c>
      <c r="E6" s="1" t="s">
        <v>8</v>
      </c>
      <c r="F6" s="1" t="str">
        <f>IFERROR(__xludf.DUMMYFUNCTION("GOOGLETRANSLATE(E6, ""zh-CN"", ""en"")"),"Na")</f>
        <v>Na</v>
      </c>
      <c r="G6" s="1">
        <v>6.505E11</v>
      </c>
    </row>
    <row r="7">
      <c r="A7" s="1" t="s">
        <v>7</v>
      </c>
      <c r="B7" s="2" t="str">
        <f>IFERROR(__xludf.DUMMYFUNCTION("GOOGLETRANSLATE(A7, ""zh-CN"", ""en"")"),"Xinjiang Uygur Autonomous Region")</f>
        <v>Xinjiang Uygur Autonomous Region</v>
      </c>
      <c r="C7" s="1" t="s">
        <v>13</v>
      </c>
      <c r="D7" s="1" t="str">
        <f>IFERROR(__xludf.DUMMYFUNCTION("GOOGLETRANSLATE(C7, ""zh-CN"", ""en"")"),"Changji Hui Autonomous Prefecture")</f>
        <v>Changji Hui Autonomous Prefecture</v>
      </c>
      <c r="E7" s="1" t="s">
        <v>8</v>
      </c>
      <c r="F7" s="1" t="str">
        <f>IFERROR(__xludf.DUMMYFUNCTION("GOOGLETRANSLATE(E7, ""zh-CN"", ""en"")"),"Na")</f>
        <v>Na</v>
      </c>
      <c r="G7" s="1">
        <v>6.523E11</v>
      </c>
    </row>
    <row r="8">
      <c r="A8" s="1" t="s">
        <v>7</v>
      </c>
      <c r="B8" s="2" t="str">
        <f>IFERROR(__xludf.DUMMYFUNCTION("GOOGLETRANSLATE(A8, ""zh-CN"", ""en"")"),"Xinjiang Uygur Autonomous Region")</f>
        <v>Xinjiang Uygur Autonomous Region</v>
      </c>
      <c r="C8" s="1" t="s">
        <v>14</v>
      </c>
      <c r="D8" s="1" t="str">
        <f>IFERROR(__xludf.DUMMYFUNCTION("GOOGLETRANSLATE(C8, ""zh-CN"", ""en"")"),"Boltala Mongolia Autonomous Prefecture")</f>
        <v>Boltala Mongolia Autonomous Prefecture</v>
      </c>
      <c r="E8" s="1" t="s">
        <v>8</v>
      </c>
      <c r="F8" s="1" t="str">
        <f>IFERROR(__xludf.DUMMYFUNCTION("GOOGLETRANSLATE(E8, ""zh-CN"", ""en"")"),"Na")</f>
        <v>Na</v>
      </c>
      <c r="G8" s="1">
        <v>6.527E11</v>
      </c>
    </row>
    <row r="9">
      <c r="A9" s="1" t="s">
        <v>7</v>
      </c>
      <c r="B9" s="2" t="str">
        <f>IFERROR(__xludf.DUMMYFUNCTION("GOOGLETRANSLATE(A9, ""zh-CN"", ""en"")"),"Xinjiang Uygur Autonomous Region")</f>
        <v>Xinjiang Uygur Autonomous Region</v>
      </c>
      <c r="C9" s="1" t="s">
        <v>15</v>
      </c>
      <c r="D9" s="1" t="str">
        <f>IFERROR(__xludf.DUMMYFUNCTION("GOOGLETRANSLATE(C9, ""zh-CN"", ""en"")"),"Bayin Guo Leng Mongolian Autonomous Prefecture")</f>
        <v>Bayin Guo Leng Mongolian Autonomous Prefecture</v>
      </c>
      <c r="E9" s="1" t="s">
        <v>8</v>
      </c>
      <c r="F9" s="1" t="str">
        <f>IFERROR(__xludf.DUMMYFUNCTION("GOOGLETRANSLATE(E9, ""zh-CN"", ""en"")"),"Na")</f>
        <v>Na</v>
      </c>
      <c r="G9" s="1">
        <v>6.528E11</v>
      </c>
    </row>
    <row r="10">
      <c r="A10" s="1" t="s">
        <v>7</v>
      </c>
      <c r="B10" s="2" t="str">
        <f>IFERROR(__xludf.DUMMYFUNCTION("GOOGLETRANSLATE(A10, ""zh-CN"", ""en"")"),"Xinjiang Uygur Autonomous Region")</f>
        <v>Xinjiang Uygur Autonomous Region</v>
      </c>
      <c r="C10" s="1" t="s">
        <v>16</v>
      </c>
      <c r="D10" s="1" t="str">
        <f>IFERROR(__xludf.DUMMYFUNCTION("GOOGLETRANSLATE(C10, ""zh-CN"", ""en"")"),"Aksu area")</f>
        <v>Aksu area</v>
      </c>
      <c r="E10" s="1" t="s">
        <v>8</v>
      </c>
      <c r="F10" s="1" t="str">
        <f>IFERROR(__xludf.DUMMYFUNCTION("GOOGLETRANSLATE(E10, ""zh-CN"", ""en"")"),"Na")</f>
        <v>Na</v>
      </c>
      <c r="G10" s="1">
        <v>6.529E11</v>
      </c>
    </row>
    <row r="11">
      <c r="A11" s="1" t="s">
        <v>7</v>
      </c>
      <c r="B11" s="2" t="str">
        <f>IFERROR(__xludf.DUMMYFUNCTION("GOOGLETRANSLATE(A11, ""zh-CN"", ""en"")"),"Xinjiang Uygur Autonomous Region")</f>
        <v>Xinjiang Uygur Autonomous Region</v>
      </c>
      <c r="C11" s="1" t="s">
        <v>17</v>
      </c>
      <c r="D11" s="1" t="str">
        <f>IFERROR(__xludf.DUMMYFUNCTION("GOOGLETRANSLATE(C11, ""zh-CN"", ""en"")"),"Kizilu Sukirkiz Autonomous Prefecture")</f>
        <v>Kizilu Sukirkiz Autonomous Prefecture</v>
      </c>
      <c r="E11" s="1" t="s">
        <v>8</v>
      </c>
      <c r="F11" s="1" t="str">
        <f>IFERROR(__xludf.DUMMYFUNCTION("GOOGLETRANSLATE(E11, ""zh-CN"", ""en"")"),"Na")</f>
        <v>Na</v>
      </c>
      <c r="G11" s="1">
        <v>6.53E11</v>
      </c>
    </row>
    <row r="12">
      <c r="A12" s="1" t="s">
        <v>7</v>
      </c>
      <c r="B12" s="2" t="str">
        <f>IFERROR(__xludf.DUMMYFUNCTION("GOOGLETRANSLATE(A12, ""zh-CN"", ""en"")"),"Xinjiang Uygur Autonomous Region")</f>
        <v>Xinjiang Uygur Autonomous Region</v>
      </c>
      <c r="C12" s="1" t="s">
        <v>18</v>
      </c>
      <c r="D12" s="1" t="str">
        <f>IFERROR(__xludf.DUMMYFUNCTION("GOOGLETRANSLATE(C12, ""zh-CN"", ""en"")"),"Kashgar area")</f>
        <v>Kashgar area</v>
      </c>
      <c r="E12" s="1" t="s">
        <v>8</v>
      </c>
      <c r="F12" s="1" t="str">
        <f>IFERROR(__xludf.DUMMYFUNCTION("GOOGLETRANSLATE(E12, ""zh-CN"", ""en"")"),"Na")</f>
        <v>Na</v>
      </c>
      <c r="G12" s="1">
        <v>6.531E11</v>
      </c>
    </row>
    <row r="13">
      <c r="A13" s="1" t="s">
        <v>7</v>
      </c>
      <c r="B13" s="2" t="str">
        <f>IFERROR(__xludf.DUMMYFUNCTION("GOOGLETRANSLATE(A13, ""zh-CN"", ""en"")"),"Xinjiang Uygur Autonomous Region")</f>
        <v>Xinjiang Uygur Autonomous Region</v>
      </c>
      <c r="C13" s="1" t="s">
        <v>19</v>
      </c>
      <c r="D13" s="1" t="str">
        <f>IFERROR(__xludf.DUMMYFUNCTION("GOOGLETRANSLATE(C13, ""zh-CN"", ""en"")"),"Hetian area")</f>
        <v>Hetian area</v>
      </c>
      <c r="E13" s="1" t="s">
        <v>8</v>
      </c>
      <c r="F13" s="1" t="str">
        <f>IFERROR(__xludf.DUMMYFUNCTION("GOOGLETRANSLATE(E13, ""zh-CN"", ""en"")"),"Na")</f>
        <v>Na</v>
      </c>
      <c r="G13" s="1">
        <v>6.532E11</v>
      </c>
    </row>
    <row r="14">
      <c r="A14" s="1" t="s">
        <v>7</v>
      </c>
      <c r="B14" s="2" t="str">
        <f>IFERROR(__xludf.DUMMYFUNCTION("GOOGLETRANSLATE(A14, ""zh-CN"", ""en"")"),"Xinjiang Uygur Autonomous Region")</f>
        <v>Xinjiang Uygur Autonomous Region</v>
      </c>
      <c r="C14" s="1" t="s">
        <v>20</v>
      </c>
      <c r="D14" s="1" t="str">
        <f>IFERROR(__xludf.DUMMYFUNCTION("GOOGLETRANSLATE(C14, ""zh-CN"", ""en"")"),"Ili Kazakh Autonomous Prefecture")</f>
        <v>Ili Kazakh Autonomous Prefecture</v>
      </c>
      <c r="E14" s="1" t="s">
        <v>8</v>
      </c>
      <c r="F14" s="1" t="str">
        <f>IFERROR(__xludf.DUMMYFUNCTION("GOOGLETRANSLATE(E14, ""zh-CN"", ""en"")"),"Na")</f>
        <v>Na</v>
      </c>
      <c r="G14" s="1">
        <v>6.54E11</v>
      </c>
    </row>
    <row r="15">
      <c r="A15" s="1" t="s">
        <v>7</v>
      </c>
      <c r="B15" s="2" t="str">
        <f>IFERROR(__xludf.DUMMYFUNCTION("GOOGLETRANSLATE(A15, ""zh-CN"", ""en"")"),"Xinjiang Uygur Autonomous Region")</f>
        <v>Xinjiang Uygur Autonomous Region</v>
      </c>
      <c r="C15" s="1" t="s">
        <v>21</v>
      </c>
      <c r="D15" s="1" t="str">
        <f>IFERROR(__xludf.DUMMYFUNCTION("GOOGLETRANSLATE(C15, ""zh-CN"", ""en"")"),"Tower")</f>
        <v>Tower</v>
      </c>
      <c r="E15" s="1" t="s">
        <v>8</v>
      </c>
      <c r="F15" s="1" t="str">
        <f>IFERROR(__xludf.DUMMYFUNCTION("GOOGLETRANSLATE(E15, ""zh-CN"", ""en"")"),"Na")</f>
        <v>Na</v>
      </c>
      <c r="G15" s="1">
        <v>6.542E11</v>
      </c>
    </row>
    <row r="16">
      <c r="A16" s="1" t="s">
        <v>7</v>
      </c>
      <c r="B16" s="2" t="str">
        <f>IFERROR(__xludf.DUMMYFUNCTION("GOOGLETRANSLATE(A16, ""zh-CN"", ""en"")"),"Xinjiang Uygur Autonomous Region")</f>
        <v>Xinjiang Uygur Autonomous Region</v>
      </c>
      <c r="C16" s="1" t="s">
        <v>22</v>
      </c>
      <c r="D16" s="1" t="str">
        <f>IFERROR(__xludf.DUMMYFUNCTION("GOOGLETRANSLATE(C16, ""zh-CN"", ""en"")"),"Altay area")</f>
        <v>Altay area</v>
      </c>
      <c r="E16" s="1" t="s">
        <v>8</v>
      </c>
      <c r="F16" s="1" t="str">
        <f>IFERROR(__xludf.DUMMYFUNCTION("GOOGLETRANSLATE(E16, ""zh-CN"", ""en"")"),"Na")</f>
        <v>Na</v>
      </c>
      <c r="G16" s="1">
        <v>6.543E11</v>
      </c>
    </row>
    <row r="17">
      <c r="A17" s="1" t="s">
        <v>7</v>
      </c>
      <c r="B17" s="2" t="str">
        <f>IFERROR(__xludf.DUMMYFUNCTION("GOOGLETRANSLATE(A17, ""zh-CN"", ""en"")"),"Xinjiang Uygur Autonomous Region")</f>
        <v>Xinjiang Uygur Autonomous Region</v>
      </c>
      <c r="C17" s="1" t="s">
        <v>23</v>
      </c>
      <c r="D17" s="1" t="str">
        <f>IFERROR(__xludf.DUMMYFUNCTION("GOOGLETRANSLATE(C17, ""zh-CN"", ""en"")"),"Autonomous Region's directly under the jurisdiction of county -level administrative divisions")</f>
        <v>Autonomous Region's directly under the jurisdiction of county -level administrative divisions</v>
      </c>
      <c r="E17" s="1" t="s">
        <v>8</v>
      </c>
      <c r="F17" s="1" t="str">
        <f>IFERROR(__xludf.DUMMYFUNCTION("GOOGLETRANSLATE(E17, ""zh-CN"", ""en"")"),"Na")</f>
        <v>Na</v>
      </c>
      <c r="G17" s="1">
        <v>6.59E11</v>
      </c>
    </row>
    <row r="18">
      <c r="A18" s="1" t="s">
        <v>7</v>
      </c>
      <c r="B18" s="2" t="str">
        <f>IFERROR(__xludf.DUMMYFUNCTION("GOOGLETRANSLATE(A18, ""zh-CN"", ""en"")"),"Xinjiang Uygur Autonomous Region")</f>
        <v>Xinjiang Uygur Autonomous Region</v>
      </c>
      <c r="C18" s="1" t="s">
        <v>9</v>
      </c>
      <c r="D18" s="1" t="str">
        <f>IFERROR(__xludf.DUMMYFUNCTION("GOOGLETRANSLATE(C18, ""zh-CN"", ""en"")"),"Urumqi")</f>
        <v>Urumqi</v>
      </c>
      <c r="E18" s="1" t="s">
        <v>24</v>
      </c>
      <c r="F18" s="1" t="str">
        <f>IFERROR(__xludf.DUMMYFUNCTION("GOOGLETRANSLATE(E18, ""zh-CN"", ""en"")"),"City area")</f>
        <v>City area</v>
      </c>
      <c r="G18" s="1">
        <v>6.50101E11</v>
      </c>
    </row>
    <row r="19">
      <c r="A19" s="1" t="s">
        <v>7</v>
      </c>
      <c r="B19" s="2" t="str">
        <f>IFERROR(__xludf.DUMMYFUNCTION("GOOGLETRANSLATE(A19, ""zh-CN"", ""en"")"),"Xinjiang Uygur Autonomous Region")</f>
        <v>Xinjiang Uygur Autonomous Region</v>
      </c>
      <c r="C19" s="1" t="s">
        <v>9</v>
      </c>
      <c r="D19" s="1" t="str">
        <f>IFERROR(__xludf.DUMMYFUNCTION("GOOGLETRANSLATE(C19, ""zh-CN"", ""en"")"),"Urumqi")</f>
        <v>Urumqi</v>
      </c>
      <c r="E19" s="1" t="s">
        <v>25</v>
      </c>
      <c r="F19" s="1" t="str">
        <f>IFERROR(__xludf.DUMMYFUNCTION("GOOGLETRANSLATE(E19, ""zh-CN"", ""en"")"),"Tianshan District")</f>
        <v>Tianshan District</v>
      </c>
      <c r="G19" s="1">
        <v>6.50102E11</v>
      </c>
    </row>
    <row r="20">
      <c r="A20" s="1" t="s">
        <v>7</v>
      </c>
      <c r="B20" s="2" t="str">
        <f>IFERROR(__xludf.DUMMYFUNCTION("GOOGLETRANSLATE(A20, ""zh-CN"", ""en"")"),"Xinjiang Uygur Autonomous Region")</f>
        <v>Xinjiang Uygur Autonomous Region</v>
      </c>
      <c r="C20" s="1" t="s">
        <v>9</v>
      </c>
      <c r="D20" s="1" t="str">
        <f>IFERROR(__xludf.DUMMYFUNCTION("GOOGLETRANSLATE(C20, ""zh-CN"", ""en"")"),"Urumqi")</f>
        <v>Urumqi</v>
      </c>
      <c r="E20" s="1" t="s">
        <v>26</v>
      </c>
      <c r="F20" s="1" t="str">
        <f>IFERROR(__xludf.DUMMYFUNCTION("GOOGLETRANSLATE(E20, ""zh-CN"", ""en"")"),"Shaybak District")</f>
        <v>Shaybak District</v>
      </c>
      <c r="G20" s="1">
        <v>6.50103E11</v>
      </c>
    </row>
    <row r="21">
      <c r="A21" s="1" t="s">
        <v>7</v>
      </c>
      <c r="B21" s="2" t="str">
        <f>IFERROR(__xludf.DUMMYFUNCTION("GOOGLETRANSLATE(A21, ""zh-CN"", ""en"")"),"Xinjiang Uygur Autonomous Region")</f>
        <v>Xinjiang Uygur Autonomous Region</v>
      </c>
      <c r="C21" s="1" t="s">
        <v>9</v>
      </c>
      <c r="D21" s="1" t="str">
        <f>IFERROR(__xludf.DUMMYFUNCTION("GOOGLETRANSLATE(C21, ""zh-CN"", ""en"")"),"Urumqi")</f>
        <v>Urumqi</v>
      </c>
      <c r="E21" s="1" t="s">
        <v>27</v>
      </c>
      <c r="F21" s="1" t="str">
        <f>IFERROR(__xludf.DUMMYFUNCTION("GOOGLETRANSLATE(E21, ""zh-CN"", ""en"")"),"New urban area")</f>
        <v>New urban area</v>
      </c>
      <c r="G21" s="1">
        <v>6.50104E11</v>
      </c>
    </row>
    <row r="22">
      <c r="A22" s="1" t="s">
        <v>7</v>
      </c>
      <c r="B22" s="2" t="str">
        <f>IFERROR(__xludf.DUMMYFUNCTION("GOOGLETRANSLATE(A22, ""zh-CN"", ""en"")"),"Xinjiang Uygur Autonomous Region")</f>
        <v>Xinjiang Uygur Autonomous Region</v>
      </c>
      <c r="C22" s="1" t="s">
        <v>9</v>
      </c>
      <c r="D22" s="1" t="str">
        <f>IFERROR(__xludf.DUMMYFUNCTION("GOOGLETRANSLATE(C22, ""zh-CN"", ""en"")"),"Urumqi")</f>
        <v>Urumqi</v>
      </c>
      <c r="E22" s="1" t="s">
        <v>28</v>
      </c>
      <c r="F22" s="1" t="str">
        <f>IFERROR(__xludf.DUMMYFUNCTION("GOOGLETRANSLATE(E22, ""zh-CN"", ""en"")"),"Water milling area")</f>
        <v>Water milling area</v>
      </c>
      <c r="G22" s="1">
        <v>6.50105E11</v>
      </c>
    </row>
    <row r="23">
      <c r="A23" s="1" t="s">
        <v>7</v>
      </c>
      <c r="B23" s="2" t="str">
        <f>IFERROR(__xludf.DUMMYFUNCTION("GOOGLETRANSLATE(A23, ""zh-CN"", ""en"")"),"Xinjiang Uygur Autonomous Region")</f>
        <v>Xinjiang Uygur Autonomous Region</v>
      </c>
      <c r="C23" s="1" t="s">
        <v>9</v>
      </c>
      <c r="D23" s="1" t="str">
        <f>IFERROR(__xludf.DUMMYFUNCTION("GOOGLETRANSLATE(C23, ""zh-CN"", ""en"")"),"Urumqi")</f>
        <v>Urumqi</v>
      </c>
      <c r="E23" s="1" t="s">
        <v>29</v>
      </c>
      <c r="F23" s="1" t="str">
        <f>IFERROR(__xludf.DUMMYFUNCTION("GOOGLETRANSLATE(E23, ""zh-CN"", ""en"")"),"Toton River District")</f>
        <v>Toton River District</v>
      </c>
      <c r="G23" s="1">
        <v>6.50106E11</v>
      </c>
    </row>
    <row r="24">
      <c r="A24" s="1" t="s">
        <v>7</v>
      </c>
      <c r="B24" s="2" t="str">
        <f>IFERROR(__xludf.DUMMYFUNCTION("GOOGLETRANSLATE(A24, ""zh-CN"", ""en"")"),"Xinjiang Uygur Autonomous Region")</f>
        <v>Xinjiang Uygur Autonomous Region</v>
      </c>
      <c r="C24" s="1" t="s">
        <v>9</v>
      </c>
      <c r="D24" s="1" t="str">
        <f>IFERROR(__xludf.DUMMYFUNCTION("GOOGLETRANSLATE(C24, ""zh-CN"", ""en"")"),"Urumqi")</f>
        <v>Urumqi</v>
      </c>
      <c r="E24" s="1" t="s">
        <v>30</v>
      </c>
      <c r="F24" s="1" t="str">
        <f>IFERROR(__xludf.DUMMYFUNCTION("GOOGLETRANSLATE(E24, ""zh-CN"", ""en"")"),"Daban City")</f>
        <v>Daban City</v>
      </c>
      <c r="G24" s="1">
        <v>6.50107E11</v>
      </c>
    </row>
    <row r="25">
      <c r="A25" s="1" t="s">
        <v>7</v>
      </c>
      <c r="B25" s="2" t="str">
        <f>IFERROR(__xludf.DUMMYFUNCTION("GOOGLETRANSLATE(A25, ""zh-CN"", ""en"")"),"Xinjiang Uygur Autonomous Region")</f>
        <v>Xinjiang Uygur Autonomous Region</v>
      </c>
      <c r="C25" s="1" t="s">
        <v>9</v>
      </c>
      <c r="D25" s="1" t="str">
        <f>IFERROR(__xludf.DUMMYFUNCTION("GOOGLETRANSLATE(C25, ""zh-CN"", ""en"")"),"Urumqi")</f>
        <v>Urumqi</v>
      </c>
      <c r="E25" s="1" t="s">
        <v>31</v>
      </c>
      <c r="F25" s="1" t="str">
        <f>IFERROR(__xludf.DUMMYFUNCTION("GOOGLETRANSLATE(E25, ""zh-CN"", ""en"")"),"Midong District")</f>
        <v>Midong District</v>
      </c>
      <c r="G25" s="1">
        <v>6.50109E11</v>
      </c>
    </row>
    <row r="26">
      <c r="A26" s="1" t="s">
        <v>7</v>
      </c>
      <c r="B26" s="2" t="str">
        <f>IFERROR(__xludf.DUMMYFUNCTION("GOOGLETRANSLATE(A26, ""zh-CN"", ""en"")"),"Xinjiang Uygur Autonomous Region")</f>
        <v>Xinjiang Uygur Autonomous Region</v>
      </c>
      <c r="C26" s="1" t="s">
        <v>9</v>
      </c>
      <c r="D26" s="1" t="str">
        <f>IFERROR(__xludf.DUMMYFUNCTION("GOOGLETRANSLATE(C26, ""zh-CN"", ""en"")"),"Urumqi")</f>
        <v>Urumqi</v>
      </c>
      <c r="E26" s="1" t="s">
        <v>32</v>
      </c>
      <c r="F26" s="1" t="str">
        <f>IFERROR(__xludf.DUMMYFUNCTION("GOOGLETRANSLATE(E26, ""zh-CN"", ""en"")"),"Urumqi County")</f>
        <v>Urumqi County</v>
      </c>
      <c r="G26" s="1">
        <v>6.50121E11</v>
      </c>
    </row>
    <row r="27">
      <c r="A27" s="1" t="s">
        <v>7</v>
      </c>
      <c r="B27" s="2" t="str">
        <f>IFERROR(__xludf.DUMMYFUNCTION("GOOGLETRANSLATE(A27, ""zh-CN"", ""en"")"),"Xinjiang Uygur Autonomous Region")</f>
        <v>Xinjiang Uygur Autonomous Region</v>
      </c>
      <c r="C27" s="1" t="s">
        <v>10</v>
      </c>
      <c r="D27" s="1" t="str">
        <f>IFERROR(__xludf.DUMMYFUNCTION("GOOGLETRANSLATE(C27, ""zh-CN"", ""en"")"),"Karamay")</f>
        <v>Karamay</v>
      </c>
      <c r="E27" s="1" t="s">
        <v>24</v>
      </c>
      <c r="F27" s="1" t="str">
        <f>IFERROR(__xludf.DUMMYFUNCTION("GOOGLETRANSLATE(E27, ""zh-CN"", ""en"")"),"City area")</f>
        <v>City area</v>
      </c>
      <c r="G27" s="1">
        <v>6.50201E11</v>
      </c>
    </row>
    <row r="28">
      <c r="A28" s="1" t="s">
        <v>7</v>
      </c>
      <c r="B28" s="2" t="str">
        <f>IFERROR(__xludf.DUMMYFUNCTION("GOOGLETRANSLATE(A28, ""zh-CN"", ""en"")"),"Xinjiang Uygur Autonomous Region")</f>
        <v>Xinjiang Uygur Autonomous Region</v>
      </c>
      <c r="C28" s="1" t="s">
        <v>10</v>
      </c>
      <c r="D28" s="1" t="str">
        <f>IFERROR(__xludf.DUMMYFUNCTION("GOOGLETRANSLATE(C28, ""zh-CN"", ""en"")"),"Karamay")</f>
        <v>Karamay</v>
      </c>
      <c r="E28" s="1" t="s">
        <v>33</v>
      </c>
      <c r="F28" s="1" t="str">
        <f>IFERROR(__xludf.DUMMYFUNCTION("GOOGLETRANSLATE(E28, ""zh-CN"", ""en"")"),"Dushanzi District")</f>
        <v>Dushanzi District</v>
      </c>
      <c r="G28" s="1">
        <v>6.50202E11</v>
      </c>
    </row>
    <row r="29">
      <c r="A29" s="1" t="s">
        <v>7</v>
      </c>
      <c r="B29" s="2" t="str">
        <f>IFERROR(__xludf.DUMMYFUNCTION("GOOGLETRANSLATE(A29, ""zh-CN"", ""en"")"),"Xinjiang Uygur Autonomous Region")</f>
        <v>Xinjiang Uygur Autonomous Region</v>
      </c>
      <c r="C29" s="1" t="s">
        <v>10</v>
      </c>
      <c r="D29" s="1" t="str">
        <f>IFERROR(__xludf.DUMMYFUNCTION("GOOGLETRANSLATE(C29, ""zh-CN"", ""en"")"),"Karamay")</f>
        <v>Karamay</v>
      </c>
      <c r="E29" s="1" t="s">
        <v>34</v>
      </c>
      <c r="F29" s="1" t="str">
        <f>IFERROR(__xludf.DUMMYFUNCTION("GOOGLETRANSLATE(E29, ""zh-CN"", ""en"")"),"Karamay")</f>
        <v>Karamay</v>
      </c>
      <c r="G29" s="1">
        <v>6.50203E11</v>
      </c>
    </row>
    <row r="30">
      <c r="A30" s="1" t="s">
        <v>7</v>
      </c>
      <c r="B30" s="2" t="str">
        <f>IFERROR(__xludf.DUMMYFUNCTION("GOOGLETRANSLATE(A30, ""zh-CN"", ""en"")"),"Xinjiang Uygur Autonomous Region")</f>
        <v>Xinjiang Uygur Autonomous Region</v>
      </c>
      <c r="C30" s="1" t="s">
        <v>10</v>
      </c>
      <c r="D30" s="1" t="str">
        <f>IFERROR(__xludf.DUMMYFUNCTION("GOOGLETRANSLATE(C30, ""zh-CN"", ""en"")"),"Karamay")</f>
        <v>Karamay</v>
      </c>
      <c r="E30" s="1" t="s">
        <v>35</v>
      </c>
      <c r="F30" s="1" t="str">
        <f>IFERROR(__xludf.DUMMYFUNCTION("GOOGLETRANSLATE(E30, ""zh-CN"", ""en"")"),"White -alkali beach area")</f>
        <v>White -alkali beach area</v>
      </c>
      <c r="G30" s="1">
        <v>6.50204E11</v>
      </c>
    </row>
    <row r="31">
      <c r="A31" s="1" t="s">
        <v>7</v>
      </c>
      <c r="B31" s="2" t="str">
        <f>IFERROR(__xludf.DUMMYFUNCTION("GOOGLETRANSLATE(A31, ""zh-CN"", ""en"")"),"Xinjiang Uygur Autonomous Region")</f>
        <v>Xinjiang Uygur Autonomous Region</v>
      </c>
      <c r="C31" s="1" t="s">
        <v>10</v>
      </c>
      <c r="D31" s="1" t="str">
        <f>IFERROR(__xludf.DUMMYFUNCTION("GOOGLETRANSLATE(C31, ""zh-CN"", ""en"")"),"Karamay")</f>
        <v>Karamay</v>
      </c>
      <c r="E31" s="1" t="s">
        <v>36</v>
      </c>
      <c r="F31" s="1" t="str">
        <f>IFERROR(__xludf.DUMMYFUNCTION("GOOGLETRANSLATE(E31, ""zh-CN"", ""en"")"),"Urho District")</f>
        <v>Urho District</v>
      </c>
      <c r="G31" s="1">
        <v>6.50205E11</v>
      </c>
    </row>
    <row r="32">
      <c r="A32" s="1" t="s">
        <v>7</v>
      </c>
      <c r="B32" s="2" t="str">
        <f>IFERROR(__xludf.DUMMYFUNCTION("GOOGLETRANSLATE(A32, ""zh-CN"", ""en"")"),"Xinjiang Uygur Autonomous Region")</f>
        <v>Xinjiang Uygur Autonomous Region</v>
      </c>
      <c r="C32" s="1" t="s">
        <v>11</v>
      </c>
      <c r="D32" s="1" t="str">
        <f>IFERROR(__xludf.DUMMYFUNCTION("GOOGLETRANSLATE(C32, ""zh-CN"", ""en"")"),"Turpan City")</f>
        <v>Turpan City</v>
      </c>
      <c r="E32" s="1" t="s">
        <v>37</v>
      </c>
      <c r="F32" s="1" t="str">
        <f>IFERROR(__xludf.DUMMYFUNCTION("GOOGLETRANSLATE(E32, ""zh-CN"", ""en"")"),"Gaochang District")</f>
        <v>Gaochang District</v>
      </c>
      <c r="G32" s="1">
        <v>6.50402E11</v>
      </c>
    </row>
    <row r="33">
      <c r="A33" s="1" t="s">
        <v>7</v>
      </c>
      <c r="B33" s="2" t="str">
        <f>IFERROR(__xludf.DUMMYFUNCTION("GOOGLETRANSLATE(A33, ""zh-CN"", ""en"")"),"Xinjiang Uygur Autonomous Region")</f>
        <v>Xinjiang Uygur Autonomous Region</v>
      </c>
      <c r="C33" s="1" t="s">
        <v>11</v>
      </c>
      <c r="D33" s="1" t="str">
        <f>IFERROR(__xludf.DUMMYFUNCTION("GOOGLETRANSLATE(C33, ""zh-CN"", ""en"")"),"Turpan City")</f>
        <v>Turpan City</v>
      </c>
      <c r="E33" s="1" t="s">
        <v>38</v>
      </c>
      <c r="F33" s="1" t="str">
        <f>IFERROR(__xludf.DUMMYFUNCTION("GOOGLETRANSLATE(E33, ""zh-CN"", ""en"")"),"Shan Shan County")</f>
        <v>Shan Shan County</v>
      </c>
      <c r="G33" s="1">
        <v>6.50421E11</v>
      </c>
    </row>
    <row r="34">
      <c r="A34" s="1" t="s">
        <v>7</v>
      </c>
      <c r="B34" s="2" t="str">
        <f>IFERROR(__xludf.DUMMYFUNCTION("GOOGLETRANSLATE(A34, ""zh-CN"", ""en"")"),"Xinjiang Uygur Autonomous Region")</f>
        <v>Xinjiang Uygur Autonomous Region</v>
      </c>
      <c r="C34" s="1" t="s">
        <v>11</v>
      </c>
      <c r="D34" s="1" t="str">
        <f>IFERROR(__xludf.DUMMYFUNCTION("GOOGLETRANSLATE(C34, ""zh-CN"", ""en"")"),"Turpan City")</f>
        <v>Turpan City</v>
      </c>
      <c r="E34" s="1" t="s">
        <v>39</v>
      </c>
      <c r="F34" s="1" t="str">
        <f>IFERROR(__xludf.DUMMYFUNCTION("GOOGLETRANSLATE(E34, ""zh-CN"", ""en"")"),"Tocozon County")</f>
        <v>Tocozon County</v>
      </c>
      <c r="G34" s="1">
        <v>6.50422E11</v>
      </c>
    </row>
    <row r="35">
      <c r="A35" s="1" t="s">
        <v>7</v>
      </c>
      <c r="B35" s="2" t="str">
        <f>IFERROR(__xludf.DUMMYFUNCTION("GOOGLETRANSLATE(A35, ""zh-CN"", ""en"")"),"Xinjiang Uygur Autonomous Region")</f>
        <v>Xinjiang Uygur Autonomous Region</v>
      </c>
      <c r="C35" s="1" t="s">
        <v>12</v>
      </c>
      <c r="D35" s="1" t="str">
        <f>IFERROR(__xludf.DUMMYFUNCTION("GOOGLETRANSLATE(C35, ""zh-CN"", ""en"")"),"Hami City")</f>
        <v>Hami City</v>
      </c>
      <c r="E35" s="1" t="s">
        <v>40</v>
      </c>
      <c r="F35" s="1" t="str">
        <f>IFERROR(__xludf.DUMMYFUNCTION("GOOGLETRANSLATE(E35, ""zh-CN"", ""en"")"),"Yizhou District")</f>
        <v>Yizhou District</v>
      </c>
      <c r="G35" s="1">
        <v>6.50502E11</v>
      </c>
    </row>
    <row r="36">
      <c r="A36" s="1" t="s">
        <v>7</v>
      </c>
      <c r="B36" s="2" t="str">
        <f>IFERROR(__xludf.DUMMYFUNCTION("GOOGLETRANSLATE(A36, ""zh-CN"", ""en"")"),"Xinjiang Uygur Autonomous Region")</f>
        <v>Xinjiang Uygur Autonomous Region</v>
      </c>
      <c r="C36" s="1" t="s">
        <v>12</v>
      </c>
      <c r="D36" s="1" t="str">
        <f>IFERROR(__xludf.DUMMYFUNCTION("GOOGLETRANSLATE(C36, ""zh-CN"", ""en"")"),"Hami City")</f>
        <v>Hami City</v>
      </c>
      <c r="E36" s="1" t="s">
        <v>41</v>
      </c>
      <c r="F36" s="1" t="str">
        <f>IFERROR(__xludf.DUMMYFUNCTION("GOOGLETRANSLATE(E36, ""zh-CN"", ""en"")"),"Barry Kazakh Autonomous County")</f>
        <v>Barry Kazakh Autonomous County</v>
      </c>
      <c r="G36" s="1">
        <v>6.50521E11</v>
      </c>
    </row>
    <row r="37">
      <c r="A37" s="1" t="s">
        <v>7</v>
      </c>
      <c r="B37" s="2" t="str">
        <f>IFERROR(__xludf.DUMMYFUNCTION("GOOGLETRANSLATE(A37, ""zh-CN"", ""en"")"),"Xinjiang Uygur Autonomous Region")</f>
        <v>Xinjiang Uygur Autonomous Region</v>
      </c>
      <c r="C37" s="1" t="s">
        <v>12</v>
      </c>
      <c r="D37" s="1" t="str">
        <f>IFERROR(__xludf.DUMMYFUNCTION("GOOGLETRANSLATE(C37, ""zh-CN"", ""en"")"),"Hami City")</f>
        <v>Hami City</v>
      </c>
      <c r="E37" s="1" t="s">
        <v>42</v>
      </c>
      <c r="F37" s="1" t="str">
        <f>IFERROR(__xludf.DUMMYFUNCTION("GOOGLETRANSLATE(E37, ""zh-CN"", ""en"")"),"Yion")</f>
        <v>Yion</v>
      </c>
      <c r="G37" s="1">
        <v>6.50522E11</v>
      </c>
    </row>
    <row r="38">
      <c r="A38" s="1" t="s">
        <v>7</v>
      </c>
      <c r="B38" s="2" t="str">
        <f>IFERROR(__xludf.DUMMYFUNCTION("GOOGLETRANSLATE(A38, ""zh-CN"", ""en"")"),"Xinjiang Uygur Autonomous Region")</f>
        <v>Xinjiang Uygur Autonomous Region</v>
      </c>
      <c r="C38" s="1" t="s">
        <v>13</v>
      </c>
      <c r="D38" s="1" t="str">
        <f>IFERROR(__xludf.DUMMYFUNCTION("GOOGLETRANSLATE(C38, ""zh-CN"", ""en"")"),"Changji Hui Autonomous Prefecture")</f>
        <v>Changji Hui Autonomous Prefecture</v>
      </c>
      <c r="E38" s="1" t="s">
        <v>43</v>
      </c>
      <c r="F38" s="1" t="str">
        <f>IFERROR(__xludf.DUMMYFUNCTION("GOOGLETRANSLATE(E38, ""zh-CN"", ""en"")"),"Changji City")</f>
        <v>Changji City</v>
      </c>
      <c r="G38" s="1">
        <v>6.52301E11</v>
      </c>
    </row>
    <row r="39">
      <c r="A39" s="1" t="s">
        <v>7</v>
      </c>
      <c r="B39" s="2" t="str">
        <f>IFERROR(__xludf.DUMMYFUNCTION("GOOGLETRANSLATE(A39, ""zh-CN"", ""en"")"),"Xinjiang Uygur Autonomous Region")</f>
        <v>Xinjiang Uygur Autonomous Region</v>
      </c>
      <c r="C39" s="1" t="s">
        <v>13</v>
      </c>
      <c r="D39" s="1" t="str">
        <f>IFERROR(__xludf.DUMMYFUNCTION("GOOGLETRANSLATE(C39, ""zh-CN"", ""en"")"),"Changji Hui Autonomous Prefecture")</f>
        <v>Changji Hui Autonomous Prefecture</v>
      </c>
      <c r="E39" s="1" t="s">
        <v>44</v>
      </c>
      <c r="F39" s="1" t="str">
        <f>IFERROR(__xludf.DUMMYFUNCTION("GOOGLETRANSLATE(E39, ""zh-CN"", ""en"")"),"Fukang City")</f>
        <v>Fukang City</v>
      </c>
      <c r="G39" s="1">
        <v>6.52302E11</v>
      </c>
    </row>
    <row r="40">
      <c r="A40" s="1" t="s">
        <v>7</v>
      </c>
      <c r="B40" s="2" t="str">
        <f>IFERROR(__xludf.DUMMYFUNCTION("GOOGLETRANSLATE(A40, ""zh-CN"", ""en"")"),"Xinjiang Uygur Autonomous Region")</f>
        <v>Xinjiang Uygur Autonomous Region</v>
      </c>
      <c r="C40" s="1" t="s">
        <v>13</v>
      </c>
      <c r="D40" s="1" t="str">
        <f>IFERROR(__xludf.DUMMYFUNCTION("GOOGLETRANSLATE(C40, ""zh-CN"", ""en"")"),"Changji Hui Autonomous Prefecture")</f>
        <v>Changji Hui Autonomous Prefecture</v>
      </c>
      <c r="E40" s="1" t="s">
        <v>45</v>
      </c>
      <c r="F40" s="1" t="str">
        <f>IFERROR(__xludf.DUMMYFUNCTION("GOOGLETRANSLATE(E40, ""zh-CN"", ""en"")"),"Hutubi County")</f>
        <v>Hutubi County</v>
      </c>
      <c r="G40" s="1">
        <v>6.52323E11</v>
      </c>
    </row>
    <row r="41">
      <c r="A41" s="1" t="s">
        <v>7</v>
      </c>
      <c r="B41" s="2" t="str">
        <f>IFERROR(__xludf.DUMMYFUNCTION("GOOGLETRANSLATE(A41, ""zh-CN"", ""en"")"),"Xinjiang Uygur Autonomous Region")</f>
        <v>Xinjiang Uygur Autonomous Region</v>
      </c>
      <c r="C41" s="1" t="s">
        <v>13</v>
      </c>
      <c r="D41" s="1" t="str">
        <f>IFERROR(__xludf.DUMMYFUNCTION("GOOGLETRANSLATE(C41, ""zh-CN"", ""en"")"),"Changji Hui Autonomous Prefecture")</f>
        <v>Changji Hui Autonomous Prefecture</v>
      </c>
      <c r="E41" s="1" t="s">
        <v>46</v>
      </c>
      <c r="F41" s="1" t="str">
        <f>IFERROR(__xludf.DUMMYFUNCTION("GOOGLETRANSLATE(E41, ""zh-CN"", ""en"")"),"Manas County")</f>
        <v>Manas County</v>
      </c>
      <c r="G41" s="1">
        <v>6.52324E11</v>
      </c>
    </row>
    <row r="42">
      <c r="A42" s="1" t="s">
        <v>7</v>
      </c>
      <c r="B42" s="2" t="str">
        <f>IFERROR(__xludf.DUMMYFUNCTION("GOOGLETRANSLATE(A42, ""zh-CN"", ""en"")"),"Xinjiang Uygur Autonomous Region")</f>
        <v>Xinjiang Uygur Autonomous Region</v>
      </c>
      <c r="C42" s="1" t="s">
        <v>13</v>
      </c>
      <c r="D42" s="1" t="str">
        <f>IFERROR(__xludf.DUMMYFUNCTION("GOOGLETRANSLATE(C42, ""zh-CN"", ""en"")"),"Changji Hui Autonomous Prefecture")</f>
        <v>Changji Hui Autonomous Prefecture</v>
      </c>
      <c r="E42" s="1" t="s">
        <v>47</v>
      </c>
      <c r="F42" s="1" t="str">
        <f>IFERROR(__xludf.DUMMYFUNCTION("GOOGLETRANSLATE(E42, ""zh-CN"", ""en"")"),"Qitai County")</f>
        <v>Qitai County</v>
      </c>
      <c r="G42" s="1">
        <v>6.52325E11</v>
      </c>
    </row>
    <row r="43">
      <c r="A43" s="1" t="s">
        <v>7</v>
      </c>
      <c r="B43" s="2" t="str">
        <f>IFERROR(__xludf.DUMMYFUNCTION("GOOGLETRANSLATE(A43, ""zh-CN"", ""en"")"),"Xinjiang Uygur Autonomous Region")</f>
        <v>Xinjiang Uygur Autonomous Region</v>
      </c>
      <c r="C43" s="1" t="s">
        <v>13</v>
      </c>
      <c r="D43" s="1" t="str">
        <f>IFERROR(__xludf.DUMMYFUNCTION("GOOGLETRANSLATE(C43, ""zh-CN"", ""en"")"),"Changji Hui Autonomous Prefecture")</f>
        <v>Changji Hui Autonomous Prefecture</v>
      </c>
      <c r="E43" s="1" t="s">
        <v>48</v>
      </c>
      <c r="F43" s="1" t="str">
        <f>IFERROR(__xludf.DUMMYFUNCTION("GOOGLETRANSLATE(E43, ""zh-CN"", ""en"")"),"Jimimsar County")</f>
        <v>Jimimsar County</v>
      </c>
      <c r="G43" s="1">
        <v>6.52327E11</v>
      </c>
    </row>
    <row r="44">
      <c r="A44" s="1" t="s">
        <v>7</v>
      </c>
      <c r="B44" s="2" t="str">
        <f>IFERROR(__xludf.DUMMYFUNCTION("GOOGLETRANSLATE(A44, ""zh-CN"", ""en"")"),"Xinjiang Uygur Autonomous Region")</f>
        <v>Xinjiang Uygur Autonomous Region</v>
      </c>
      <c r="C44" s="1" t="s">
        <v>13</v>
      </c>
      <c r="D44" s="1" t="str">
        <f>IFERROR(__xludf.DUMMYFUNCTION("GOOGLETRANSLATE(C44, ""zh-CN"", ""en"")"),"Changji Hui Autonomous Prefecture")</f>
        <v>Changji Hui Autonomous Prefecture</v>
      </c>
      <c r="E44" s="1" t="s">
        <v>49</v>
      </c>
      <c r="F44" s="1" t="str">
        <f>IFERROR(__xludf.DUMMYFUNCTION("GOOGLETRANSLATE(E44, ""zh-CN"", ""en"")"),"Wooden Bargain Kazakh Autonomous County")</f>
        <v>Wooden Bargain Kazakh Autonomous County</v>
      </c>
      <c r="G44" s="1">
        <v>6.52328E11</v>
      </c>
    </row>
    <row r="45">
      <c r="A45" s="1" t="s">
        <v>7</v>
      </c>
      <c r="B45" s="2" t="str">
        <f>IFERROR(__xludf.DUMMYFUNCTION("GOOGLETRANSLATE(A45, ""zh-CN"", ""en"")"),"Xinjiang Uygur Autonomous Region")</f>
        <v>Xinjiang Uygur Autonomous Region</v>
      </c>
      <c r="C45" s="1" t="s">
        <v>14</v>
      </c>
      <c r="D45" s="1" t="str">
        <f>IFERROR(__xludf.DUMMYFUNCTION("GOOGLETRANSLATE(C45, ""zh-CN"", ""en"")"),"Boltala Mongolia Autonomous Prefecture")</f>
        <v>Boltala Mongolia Autonomous Prefecture</v>
      </c>
      <c r="E45" s="1" t="s">
        <v>50</v>
      </c>
      <c r="F45" s="1" t="str">
        <f>IFERROR(__xludf.DUMMYFUNCTION("GOOGLETRANSLATE(E45, ""zh-CN"", ""en"")"),"Bole City")</f>
        <v>Bole City</v>
      </c>
      <c r="G45" s="1">
        <v>6.52701E11</v>
      </c>
    </row>
    <row r="46">
      <c r="A46" s="1" t="s">
        <v>7</v>
      </c>
      <c r="B46" s="2" t="str">
        <f>IFERROR(__xludf.DUMMYFUNCTION("GOOGLETRANSLATE(A46, ""zh-CN"", ""en"")"),"Xinjiang Uygur Autonomous Region")</f>
        <v>Xinjiang Uygur Autonomous Region</v>
      </c>
      <c r="C46" s="1" t="s">
        <v>14</v>
      </c>
      <c r="D46" s="1" t="str">
        <f>IFERROR(__xludf.DUMMYFUNCTION("GOOGLETRANSLATE(C46, ""zh-CN"", ""en"")"),"Boltala Mongolia Autonomous Prefecture")</f>
        <v>Boltala Mongolia Autonomous Prefecture</v>
      </c>
      <c r="E46" s="1" t="s">
        <v>51</v>
      </c>
      <c r="F46" s="1" t="str">
        <f>IFERROR(__xludf.DUMMYFUNCTION("GOOGLETRANSLATE(E46, ""zh-CN"", ""en"")"),"Alashankou City")</f>
        <v>Alashankou City</v>
      </c>
      <c r="G46" s="1">
        <v>6.52702E11</v>
      </c>
    </row>
    <row r="47">
      <c r="A47" s="1" t="s">
        <v>7</v>
      </c>
      <c r="B47" s="2" t="str">
        <f>IFERROR(__xludf.DUMMYFUNCTION("GOOGLETRANSLATE(A47, ""zh-CN"", ""en"")"),"Xinjiang Uygur Autonomous Region")</f>
        <v>Xinjiang Uygur Autonomous Region</v>
      </c>
      <c r="C47" s="1" t="s">
        <v>14</v>
      </c>
      <c r="D47" s="1" t="str">
        <f>IFERROR(__xludf.DUMMYFUNCTION("GOOGLETRANSLATE(C47, ""zh-CN"", ""en"")"),"Boltala Mongolia Autonomous Prefecture")</f>
        <v>Boltala Mongolia Autonomous Prefecture</v>
      </c>
      <c r="E47" s="1" t="s">
        <v>52</v>
      </c>
      <c r="F47" s="1" t="str">
        <f>IFERROR(__xludf.DUMMYFUNCTION("GOOGLETRANSLATE(E47, ""zh-CN"", ""en"")"),"Jinghe County")</f>
        <v>Jinghe County</v>
      </c>
      <c r="G47" s="1">
        <v>6.52722E11</v>
      </c>
    </row>
    <row r="48">
      <c r="A48" s="1" t="s">
        <v>7</v>
      </c>
      <c r="B48" s="2" t="str">
        <f>IFERROR(__xludf.DUMMYFUNCTION("GOOGLETRANSLATE(A48, ""zh-CN"", ""en"")"),"Xinjiang Uygur Autonomous Region")</f>
        <v>Xinjiang Uygur Autonomous Region</v>
      </c>
      <c r="C48" s="1" t="s">
        <v>14</v>
      </c>
      <c r="D48" s="1" t="str">
        <f>IFERROR(__xludf.DUMMYFUNCTION("GOOGLETRANSLATE(C48, ""zh-CN"", ""en"")"),"Boltala Mongolia Autonomous Prefecture")</f>
        <v>Boltala Mongolia Autonomous Prefecture</v>
      </c>
      <c r="E48" s="1" t="s">
        <v>53</v>
      </c>
      <c r="F48" s="1" t="str">
        <f>IFERROR(__xludf.DUMMYFUNCTION("GOOGLETRANSLATE(E48, ""zh-CN"", ""en"")"),"Hot spring county")</f>
        <v>Hot spring county</v>
      </c>
      <c r="G48" s="1">
        <v>6.52723E11</v>
      </c>
    </row>
    <row r="49">
      <c r="A49" s="1" t="s">
        <v>7</v>
      </c>
      <c r="B49" s="2" t="str">
        <f>IFERROR(__xludf.DUMMYFUNCTION("GOOGLETRANSLATE(A49, ""zh-CN"", ""en"")"),"Xinjiang Uygur Autonomous Region")</f>
        <v>Xinjiang Uygur Autonomous Region</v>
      </c>
      <c r="C49" s="1" t="s">
        <v>15</v>
      </c>
      <c r="D49" s="1" t="str">
        <f>IFERROR(__xludf.DUMMYFUNCTION("GOOGLETRANSLATE(C49, ""zh-CN"", ""en"")"),"Bayin Guo Leng Mongolian Autonomous Prefecture")</f>
        <v>Bayin Guo Leng Mongolian Autonomous Prefecture</v>
      </c>
      <c r="E49" s="1" t="s">
        <v>54</v>
      </c>
      <c r="F49" s="1" t="str">
        <f>IFERROR(__xludf.DUMMYFUNCTION("GOOGLETRANSLATE(E49, ""zh-CN"", ""en"")"),"Korla")</f>
        <v>Korla</v>
      </c>
      <c r="G49" s="1">
        <v>6.52801E11</v>
      </c>
    </row>
    <row r="50">
      <c r="A50" s="1" t="s">
        <v>7</v>
      </c>
      <c r="B50" s="2" t="str">
        <f>IFERROR(__xludf.DUMMYFUNCTION("GOOGLETRANSLATE(A50, ""zh-CN"", ""en"")"),"Xinjiang Uygur Autonomous Region")</f>
        <v>Xinjiang Uygur Autonomous Region</v>
      </c>
      <c r="C50" s="1" t="s">
        <v>15</v>
      </c>
      <c r="D50" s="1" t="str">
        <f>IFERROR(__xludf.DUMMYFUNCTION("GOOGLETRANSLATE(C50, ""zh-CN"", ""en"")"),"Bayin Guo Leng Mongolian Autonomous Prefecture")</f>
        <v>Bayin Guo Leng Mongolian Autonomous Prefecture</v>
      </c>
      <c r="E50" s="1" t="s">
        <v>55</v>
      </c>
      <c r="F50" s="1" t="str">
        <f>IFERROR(__xludf.DUMMYFUNCTION("GOOGLETRANSLATE(E50, ""zh-CN"", ""en"")"),"Terrace")</f>
        <v>Terrace</v>
      </c>
      <c r="G50" s="1">
        <v>6.52822E11</v>
      </c>
    </row>
    <row r="51">
      <c r="A51" s="1" t="s">
        <v>7</v>
      </c>
      <c r="B51" s="2" t="str">
        <f>IFERROR(__xludf.DUMMYFUNCTION("GOOGLETRANSLATE(A51, ""zh-CN"", ""en"")"),"Xinjiang Uygur Autonomous Region")</f>
        <v>Xinjiang Uygur Autonomous Region</v>
      </c>
      <c r="C51" s="1" t="s">
        <v>15</v>
      </c>
      <c r="D51" s="1" t="str">
        <f>IFERROR(__xludf.DUMMYFUNCTION("GOOGLETRANSLATE(C51, ""zh-CN"", ""en"")"),"Bayin Guo Leng Mongolian Autonomous Prefecture")</f>
        <v>Bayin Guo Leng Mongolian Autonomous Prefecture</v>
      </c>
      <c r="E51" s="1" t="s">
        <v>56</v>
      </c>
      <c r="F51" s="1" t="str">
        <f>IFERROR(__xludf.DUMMYFUNCTION("GOOGLETRANSLATE(E51, ""zh-CN"", ""en"")"),"Weili County")</f>
        <v>Weili County</v>
      </c>
      <c r="G51" s="1">
        <v>6.52823E11</v>
      </c>
    </row>
    <row r="52">
      <c r="A52" s="1" t="s">
        <v>7</v>
      </c>
      <c r="B52" s="2" t="str">
        <f>IFERROR(__xludf.DUMMYFUNCTION("GOOGLETRANSLATE(A52, ""zh-CN"", ""en"")"),"Xinjiang Uygur Autonomous Region")</f>
        <v>Xinjiang Uygur Autonomous Region</v>
      </c>
      <c r="C52" s="1" t="s">
        <v>15</v>
      </c>
      <c r="D52" s="1" t="str">
        <f>IFERROR(__xludf.DUMMYFUNCTION("GOOGLETRANSLATE(C52, ""zh-CN"", ""en"")"),"Bayin Guo Leng Mongolian Autonomous Prefecture")</f>
        <v>Bayin Guo Leng Mongolian Autonomous Prefecture</v>
      </c>
      <c r="E52" s="1" t="s">
        <v>57</v>
      </c>
      <c r="F52" s="1" t="str">
        <f>IFERROR(__xludf.DUMMYFUNCTION("GOOGLETRANSLATE(E52, ""zh-CN"", ""en"")"),"Ruoqiang County")</f>
        <v>Ruoqiang County</v>
      </c>
      <c r="G52" s="1">
        <v>6.52824E11</v>
      </c>
    </row>
    <row r="53">
      <c r="A53" s="1" t="s">
        <v>7</v>
      </c>
      <c r="B53" s="2" t="str">
        <f>IFERROR(__xludf.DUMMYFUNCTION("GOOGLETRANSLATE(A53, ""zh-CN"", ""en"")"),"Xinjiang Uygur Autonomous Region")</f>
        <v>Xinjiang Uygur Autonomous Region</v>
      </c>
      <c r="C53" s="1" t="s">
        <v>15</v>
      </c>
      <c r="D53" s="1" t="str">
        <f>IFERROR(__xludf.DUMMYFUNCTION("GOOGLETRANSLATE(C53, ""zh-CN"", ""en"")"),"Bayin Guo Leng Mongolian Autonomous Prefecture")</f>
        <v>Bayin Guo Leng Mongolian Autonomous Prefecture</v>
      </c>
      <c r="E53" s="1" t="s">
        <v>58</v>
      </c>
      <c r="F53" s="1" t="str">
        <f>IFERROR(__xludf.DUMMYFUNCTION("GOOGLETRANSLATE(E53, ""zh-CN"", ""en"")"),"And the county")</f>
        <v>And the county</v>
      </c>
      <c r="G53" s="1">
        <v>6.52825E11</v>
      </c>
    </row>
    <row r="54">
      <c r="A54" s="1" t="s">
        <v>7</v>
      </c>
      <c r="B54" s="2" t="str">
        <f>IFERROR(__xludf.DUMMYFUNCTION("GOOGLETRANSLATE(A54, ""zh-CN"", ""en"")"),"Xinjiang Uygur Autonomous Region")</f>
        <v>Xinjiang Uygur Autonomous Region</v>
      </c>
      <c r="C54" s="1" t="s">
        <v>15</v>
      </c>
      <c r="D54" s="1" t="str">
        <f>IFERROR(__xludf.DUMMYFUNCTION("GOOGLETRANSLATE(C54, ""zh-CN"", ""en"")"),"Bayin Guo Leng Mongolian Autonomous Prefecture")</f>
        <v>Bayin Guo Leng Mongolian Autonomous Prefecture</v>
      </c>
      <c r="E54" s="1" t="s">
        <v>59</v>
      </c>
      <c r="F54" s="1" t="str">
        <f>IFERROR(__xludf.DUMMYFUNCTION("GOOGLETRANSLATE(E54, ""zh-CN"", ""en"")"),"县 Hui Hui Autonomous County")</f>
        <v>县 Hui Hui Autonomous County</v>
      </c>
      <c r="G54" s="1">
        <v>6.52826E11</v>
      </c>
    </row>
    <row r="55">
      <c r="A55" s="1" t="s">
        <v>7</v>
      </c>
      <c r="B55" s="2" t="str">
        <f>IFERROR(__xludf.DUMMYFUNCTION("GOOGLETRANSLATE(A55, ""zh-CN"", ""en"")"),"Xinjiang Uygur Autonomous Region")</f>
        <v>Xinjiang Uygur Autonomous Region</v>
      </c>
      <c r="C55" s="1" t="s">
        <v>15</v>
      </c>
      <c r="D55" s="1" t="str">
        <f>IFERROR(__xludf.DUMMYFUNCTION("GOOGLETRANSLATE(C55, ""zh-CN"", ""en"")"),"Bayin Guo Leng Mongolian Autonomous Prefecture")</f>
        <v>Bayin Guo Leng Mongolian Autonomous Prefecture</v>
      </c>
      <c r="E55" s="1" t="s">
        <v>60</v>
      </c>
      <c r="F55" s="1" t="str">
        <f>IFERROR(__xludf.DUMMYFUNCTION("GOOGLETRANSLATE(E55, ""zh-CN"", ""en"")"),"Hejing County")</f>
        <v>Hejing County</v>
      </c>
      <c r="G55" s="1">
        <v>6.52827E11</v>
      </c>
    </row>
    <row r="56">
      <c r="A56" s="1" t="s">
        <v>7</v>
      </c>
      <c r="B56" s="2" t="str">
        <f>IFERROR(__xludf.DUMMYFUNCTION("GOOGLETRANSLATE(A56, ""zh-CN"", ""en"")"),"Xinjiang Uygur Autonomous Region")</f>
        <v>Xinjiang Uygur Autonomous Region</v>
      </c>
      <c r="C56" s="1" t="s">
        <v>15</v>
      </c>
      <c r="D56" s="1" t="str">
        <f>IFERROR(__xludf.DUMMYFUNCTION("GOOGLETRANSLATE(C56, ""zh-CN"", ""en"")"),"Bayin Guo Leng Mongolian Autonomous Prefecture")</f>
        <v>Bayin Guo Leng Mongolian Autonomous Prefecture</v>
      </c>
      <c r="E56" s="1" t="s">
        <v>61</v>
      </c>
      <c r="F56" s="1" t="str">
        <f>IFERROR(__xludf.DUMMYFUNCTION("GOOGLETRANSLATE(E56, ""zh-CN"", ""en"")"),"He Shuo County")</f>
        <v>He Shuo County</v>
      </c>
      <c r="G56" s="1">
        <v>6.52828E11</v>
      </c>
    </row>
    <row r="57">
      <c r="A57" s="1" t="s">
        <v>7</v>
      </c>
      <c r="B57" s="2" t="str">
        <f>IFERROR(__xludf.DUMMYFUNCTION("GOOGLETRANSLATE(A57, ""zh-CN"", ""en"")"),"Xinjiang Uygur Autonomous Region")</f>
        <v>Xinjiang Uygur Autonomous Region</v>
      </c>
      <c r="C57" s="1" t="s">
        <v>15</v>
      </c>
      <c r="D57" s="1" t="str">
        <f>IFERROR(__xludf.DUMMYFUNCTION("GOOGLETRANSLATE(C57, ""zh-CN"", ""en"")"),"Bayin Guo Leng Mongolian Autonomous Prefecture")</f>
        <v>Bayin Guo Leng Mongolian Autonomous Prefecture</v>
      </c>
      <c r="E57" s="1" t="s">
        <v>62</v>
      </c>
      <c r="F57" s="1" t="str">
        <f>IFERROR(__xludf.DUMMYFUNCTION("GOOGLETRANSLATE(E57, ""zh-CN"", ""en"")"),"Bohu County")</f>
        <v>Bohu County</v>
      </c>
      <c r="G57" s="1">
        <v>6.52829E11</v>
      </c>
    </row>
    <row r="58">
      <c r="A58" s="1" t="s">
        <v>7</v>
      </c>
      <c r="B58" s="2" t="str">
        <f>IFERROR(__xludf.DUMMYFUNCTION("GOOGLETRANSLATE(A58, ""zh-CN"", ""en"")"),"Xinjiang Uygur Autonomous Region")</f>
        <v>Xinjiang Uygur Autonomous Region</v>
      </c>
      <c r="C58" s="1" t="s">
        <v>15</v>
      </c>
      <c r="D58" s="1" t="str">
        <f>IFERROR(__xludf.DUMMYFUNCTION("GOOGLETRANSLATE(C58, ""zh-CN"", ""en"")"),"Bayin Guo Leng Mongolian Autonomous Prefecture")</f>
        <v>Bayin Guo Leng Mongolian Autonomous Prefecture</v>
      </c>
      <c r="E58" s="1" t="s">
        <v>63</v>
      </c>
      <c r="F58" s="1" t="str">
        <f>IFERROR(__xludf.DUMMYFUNCTION("GOOGLETRANSLATE(E58, ""zh-CN"", ""en"")"),"Korla Economic and Technological Development Zone")</f>
        <v>Korla Economic and Technological Development Zone</v>
      </c>
      <c r="G58" s="1">
        <v>6.52871E11</v>
      </c>
    </row>
    <row r="59">
      <c r="A59" s="1" t="s">
        <v>7</v>
      </c>
      <c r="B59" s="2" t="str">
        <f>IFERROR(__xludf.DUMMYFUNCTION("GOOGLETRANSLATE(A59, ""zh-CN"", ""en"")"),"Xinjiang Uygur Autonomous Region")</f>
        <v>Xinjiang Uygur Autonomous Region</v>
      </c>
      <c r="C59" s="1" t="s">
        <v>16</v>
      </c>
      <c r="D59" s="1" t="str">
        <f>IFERROR(__xludf.DUMMYFUNCTION("GOOGLETRANSLATE(C59, ""zh-CN"", ""en"")"),"Aksu area")</f>
        <v>Aksu area</v>
      </c>
      <c r="E59" s="1" t="s">
        <v>64</v>
      </c>
      <c r="F59" s="1" t="str">
        <f>IFERROR(__xludf.DUMMYFUNCTION("GOOGLETRANSLATE(E59, ""zh-CN"", ""en"")"),"Aksu City")</f>
        <v>Aksu City</v>
      </c>
      <c r="G59" s="1">
        <v>6.52901E11</v>
      </c>
    </row>
    <row r="60">
      <c r="A60" s="1" t="s">
        <v>7</v>
      </c>
      <c r="B60" s="2" t="str">
        <f>IFERROR(__xludf.DUMMYFUNCTION("GOOGLETRANSLATE(A60, ""zh-CN"", ""en"")"),"Xinjiang Uygur Autonomous Region")</f>
        <v>Xinjiang Uygur Autonomous Region</v>
      </c>
      <c r="C60" s="1" t="s">
        <v>16</v>
      </c>
      <c r="D60" s="1" t="str">
        <f>IFERROR(__xludf.DUMMYFUNCTION("GOOGLETRANSLATE(C60, ""zh-CN"", ""en"")"),"Aksu area")</f>
        <v>Aksu area</v>
      </c>
      <c r="E60" s="1" t="s">
        <v>65</v>
      </c>
      <c r="F60" s="1" t="str">
        <f>IFERROR(__xludf.DUMMYFUNCTION("GOOGLETRANSLATE(E60, ""zh-CN"", ""en"")"),"Car market")</f>
        <v>Car market</v>
      </c>
      <c r="G60" s="1">
        <v>6.52902E11</v>
      </c>
    </row>
    <row r="61">
      <c r="A61" s="1" t="s">
        <v>7</v>
      </c>
      <c r="B61" s="2" t="str">
        <f>IFERROR(__xludf.DUMMYFUNCTION("GOOGLETRANSLATE(A61, ""zh-CN"", ""en"")"),"Xinjiang Uygur Autonomous Region")</f>
        <v>Xinjiang Uygur Autonomous Region</v>
      </c>
      <c r="C61" s="1" t="s">
        <v>16</v>
      </c>
      <c r="D61" s="1" t="str">
        <f>IFERROR(__xludf.DUMMYFUNCTION("GOOGLETRANSLATE(C61, ""zh-CN"", ""en"")"),"Aksu area")</f>
        <v>Aksu area</v>
      </c>
      <c r="E61" s="1" t="s">
        <v>66</v>
      </c>
      <c r="F61" s="1" t="str">
        <f>IFERROR(__xludf.DUMMYFUNCTION("GOOGLETRANSLATE(E61, ""zh-CN"", ""en"")"),"Wensui County")</f>
        <v>Wensui County</v>
      </c>
      <c r="G61" s="1">
        <v>6.52922E11</v>
      </c>
    </row>
    <row r="62">
      <c r="A62" s="1" t="s">
        <v>7</v>
      </c>
      <c r="B62" s="2" t="str">
        <f>IFERROR(__xludf.DUMMYFUNCTION("GOOGLETRANSLATE(A62, ""zh-CN"", ""en"")"),"Xinjiang Uygur Autonomous Region")</f>
        <v>Xinjiang Uygur Autonomous Region</v>
      </c>
      <c r="C62" s="1" t="s">
        <v>16</v>
      </c>
      <c r="D62" s="1" t="str">
        <f>IFERROR(__xludf.DUMMYFUNCTION("GOOGLETRANSLATE(C62, ""zh-CN"", ""en"")"),"Aksu area")</f>
        <v>Aksu area</v>
      </c>
      <c r="E62" s="1" t="s">
        <v>67</v>
      </c>
      <c r="F62" s="1" t="str">
        <f>IFERROR(__xludf.DUMMYFUNCTION("GOOGLETRANSLATE(E62, ""zh-CN"", ""en"")"),"Shaya Prefecture")</f>
        <v>Shaya Prefecture</v>
      </c>
      <c r="G62" s="1">
        <v>6.52924E11</v>
      </c>
    </row>
    <row r="63">
      <c r="A63" s="1" t="s">
        <v>7</v>
      </c>
      <c r="B63" s="2" t="str">
        <f>IFERROR(__xludf.DUMMYFUNCTION("GOOGLETRANSLATE(A63, ""zh-CN"", ""en"")"),"Xinjiang Uygur Autonomous Region")</f>
        <v>Xinjiang Uygur Autonomous Region</v>
      </c>
      <c r="C63" s="1" t="s">
        <v>16</v>
      </c>
      <c r="D63" s="1" t="str">
        <f>IFERROR(__xludf.DUMMYFUNCTION("GOOGLETRANSLATE(C63, ""zh-CN"", ""en"")"),"Aksu area")</f>
        <v>Aksu area</v>
      </c>
      <c r="E63" s="1" t="s">
        <v>68</v>
      </c>
      <c r="F63" s="1" t="str">
        <f>IFERROR(__xludf.DUMMYFUNCTION("GOOGLETRANSLATE(E63, ""zh-CN"", ""en"")"),"Xinhe County")</f>
        <v>Xinhe County</v>
      </c>
      <c r="G63" s="1">
        <v>6.52925E11</v>
      </c>
    </row>
    <row r="64">
      <c r="A64" s="1" t="s">
        <v>7</v>
      </c>
      <c r="B64" s="2" t="str">
        <f>IFERROR(__xludf.DUMMYFUNCTION("GOOGLETRANSLATE(A64, ""zh-CN"", ""en"")"),"Xinjiang Uygur Autonomous Region")</f>
        <v>Xinjiang Uygur Autonomous Region</v>
      </c>
      <c r="C64" s="1" t="s">
        <v>16</v>
      </c>
      <c r="D64" s="1" t="str">
        <f>IFERROR(__xludf.DUMMYFUNCTION("GOOGLETRANSLATE(C64, ""zh-CN"", ""en"")"),"Aksu area")</f>
        <v>Aksu area</v>
      </c>
      <c r="E64" s="1" t="s">
        <v>69</v>
      </c>
      <c r="F64" s="1" t="str">
        <f>IFERROR(__xludf.DUMMYFUNCTION("GOOGLETRANSLATE(E64, ""zh-CN"", ""en"")"),"Baicheng County")</f>
        <v>Baicheng County</v>
      </c>
      <c r="G64" s="1">
        <v>6.52926E11</v>
      </c>
    </row>
    <row r="65">
      <c r="A65" s="1" t="s">
        <v>7</v>
      </c>
      <c r="B65" s="2" t="str">
        <f>IFERROR(__xludf.DUMMYFUNCTION("GOOGLETRANSLATE(A65, ""zh-CN"", ""en"")"),"Xinjiang Uygur Autonomous Region")</f>
        <v>Xinjiang Uygur Autonomous Region</v>
      </c>
      <c r="C65" s="1" t="s">
        <v>16</v>
      </c>
      <c r="D65" s="1" t="str">
        <f>IFERROR(__xludf.DUMMYFUNCTION("GOOGLETRANSLATE(C65, ""zh-CN"", ""en"")"),"Aksu area")</f>
        <v>Aksu area</v>
      </c>
      <c r="E65" s="1" t="s">
        <v>70</v>
      </c>
      <c r="F65" s="1" t="str">
        <f>IFERROR(__xludf.DUMMYFUNCTION("GOOGLETRANSLATE(E65, ""zh-CN"", ""en"")"),"Ush County")</f>
        <v>Ush County</v>
      </c>
      <c r="G65" s="1">
        <v>6.52927E11</v>
      </c>
    </row>
    <row r="66">
      <c r="A66" s="1" t="s">
        <v>7</v>
      </c>
      <c r="B66" s="2" t="str">
        <f>IFERROR(__xludf.DUMMYFUNCTION("GOOGLETRANSLATE(A66, ""zh-CN"", ""en"")"),"Xinjiang Uygur Autonomous Region")</f>
        <v>Xinjiang Uygur Autonomous Region</v>
      </c>
      <c r="C66" s="1" t="s">
        <v>16</v>
      </c>
      <c r="D66" s="1" t="str">
        <f>IFERROR(__xludf.DUMMYFUNCTION("GOOGLETRANSLATE(C66, ""zh-CN"", ""en"")"),"Aksu area")</f>
        <v>Aksu area</v>
      </c>
      <c r="E66" s="1" t="s">
        <v>71</v>
      </c>
      <c r="F66" s="1" t="str">
        <f>IFERROR(__xludf.DUMMYFUNCTION("GOOGLETRANSLATE(E66, ""zh-CN"", ""en"")"),"Awati County")</f>
        <v>Awati County</v>
      </c>
      <c r="G66" s="1">
        <v>6.52928E11</v>
      </c>
    </row>
    <row r="67">
      <c r="A67" s="1" t="s">
        <v>7</v>
      </c>
      <c r="B67" s="2" t="str">
        <f>IFERROR(__xludf.DUMMYFUNCTION("GOOGLETRANSLATE(A67, ""zh-CN"", ""en"")"),"Xinjiang Uygur Autonomous Region")</f>
        <v>Xinjiang Uygur Autonomous Region</v>
      </c>
      <c r="C67" s="1" t="s">
        <v>16</v>
      </c>
      <c r="D67" s="1" t="str">
        <f>IFERROR(__xludf.DUMMYFUNCTION("GOOGLETRANSLATE(C67, ""zh-CN"", ""en"")"),"Aksu area")</f>
        <v>Aksu area</v>
      </c>
      <c r="E67" s="1" t="s">
        <v>72</v>
      </c>
      <c r="F67" s="1" t="str">
        <f>IFERROR(__xludf.DUMMYFUNCTION("GOOGLETRANSLATE(E67, ""zh-CN"", ""en"")"),"Keiping County")</f>
        <v>Keiping County</v>
      </c>
      <c r="G67" s="1">
        <v>6.52929E11</v>
      </c>
    </row>
    <row r="68">
      <c r="A68" s="1" t="s">
        <v>7</v>
      </c>
      <c r="B68" s="2" t="str">
        <f>IFERROR(__xludf.DUMMYFUNCTION("GOOGLETRANSLATE(A68, ""zh-CN"", ""en"")"),"Xinjiang Uygur Autonomous Region")</f>
        <v>Xinjiang Uygur Autonomous Region</v>
      </c>
      <c r="C68" s="1" t="s">
        <v>17</v>
      </c>
      <c r="D68" s="1" t="str">
        <f>IFERROR(__xludf.DUMMYFUNCTION("GOOGLETRANSLATE(C68, ""zh-CN"", ""en"")"),"Kizilu Sukirkiz Autonomous Prefecture")</f>
        <v>Kizilu Sukirkiz Autonomous Prefecture</v>
      </c>
      <c r="E68" s="1" t="s">
        <v>73</v>
      </c>
      <c r="F68" s="1" t="str">
        <f>IFERROR(__xludf.DUMMYFUNCTION("GOOGLETRANSLATE(E68, ""zh-CN"", ""en"")"),"Abutus")</f>
        <v>Abutus</v>
      </c>
      <c r="G68" s="1">
        <v>6.53001E11</v>
      </c>
    </row>
    <row r="69">
      <c r="A69" s="1" t="s">
        <v>7</v>
      </c>
      <c r="B69" s="2" t="str">
        <f>IFERROR(__xludf.DUMMYFUNCTION("GOOGLETRANSLATE(A69, ""zh-CN"", ""en"")"),"Xinjiang Uygur Autonomous Region")</f>
        <v>Xinjiang Uygur Autonomous Region</v>
      </c>
      <c r="C69" s="1" t="s">
        <v>17</v>
      </c>
      <c r="D69" s="1" t="str">
        <f>IFERROR(__xludf.DUMMYFUNCTION("GOOGLETRANSLATE(C69, ""zh-CN"", ""en"")"),"Kizilu Sukirkiz Autonomous Prefecture")</f>
        <v>Kizilu Sukirkiz Autonomous Prefecture</v>
      </c>
      <c r="E69" s="1" t="s">
        <v>74</v>
      </c>
      <c r="F69" s="1" t="str">
        <f>IFERROR(__xludf.DUMMYFUNCTION("GOOGLETRANSLATE(E69, ""zh-CN"", ""en"")"),"Akota Prefecture")</f>
        <v>Akota Prefecture</v>
      </c>
      <c r="G69" s="1">
        <v>6.53022E11</v>
      </c>
    </row>
    <row r="70">
      <c r="A70" s="1" t="s">
        <v>7</v>
      </c>
      <c r="B70" s="2" t="str">
        <f>IFERROR(__xludf.DUMMYFUNCTION("GOOGLETRANSLATE(A70, ""zh-CN"", ""en"")"),"Xinjiang Uygur Autonomous Region")</f>
        <v>Xinjiang Uygur Autonomous Region</v>
      </c>
      <c r="C70" s="1" t="s">
        <v>17</v>
      </c>
      <c r="D70" s="1" t="str">
        <f>IFERROR(__xludf.DUMMYFUNCTION("GOOGLETRANSLATE(C70, ""zh-CN"", ""en"")"),"Kizilu Sukirkiz Autonomous Prefecture")</f>
        <v>Kizilu Sukirkiz Autonomous Prefecture</v>
      </c>
      <c r="E70" s="1" t="s">
        <v>75</v>
      </c>
      <c r="F70" s="1" t="str">
        <f>IFERROR(__xludf.DUMMYFUNCTION("GOOGLETRANSLATE(E70, ""zh-CN"", ""en"")"),"Aheci County")</f>
        <v>Aheci County</v>
      </c>
      <c r="G70" s="1">
        <v>6.53023E11</v>
      </c>
    </row>
    <row r="71">
      <c r="A71" s="1" t="s">
        <v>7</v>
      </c>
      <c r="B71" s="2" t="str">
        <f>IFERROR(__xludf.DUMMYFUNCTION("GOOGLETRANSLATE(A71, ""zh-CN"", ""en"")"),"Xinjiang Uygur Autonomous Region")</f>
        <v>Xinjiang Uygur Autonomous Region</v>
      </c>
      <c r="C71" s="1" t="s">
        <v>17</v>
      </c>
      <c r="D71" s="1" t="str">
        <f>IFERROR(__xludf.DUMMYFUNCTION("GOOGLETRANSLATE(C71, ""zh-CN"", ""en"")"),"Kizilu Sukirkiz Autonomous Prefecture")</f>
        <v>Kizilu Sukirkiz Autonomous Prefecture</v>
      </c>
      <c r="E71" s="1" t="s">
        <v>76</v>
      </c>
      <c r="F71" s="1" t="str">
        <f>IFERROR(__xludf.DUMMYFUNCTION("GOOGLETRANSLATE(E71, ""zh-CN"", ""en"")"),"Wugu County")</f>
        <v>Wugu County</v>
      </c>
      <c r="G71" s="1">
        <v>6.53024E11</v>
      </c>
    </row>
    <row r="72">
      <c r="A72" s="1" t="s">
        <v>7</v>
      </c>
      <c r="B72" s="2" t="str">
        <f>IFERROR(__xludf.DUMMYFUNCTION("GOOGLETRANSLATE(A72, ""zh-CN"", ""en"")"),"Xinjiang Uygur Autonomous Region")</f>
        <v>Xinjiang Uygur Autonomous Region</v>
      </c>
      <c r="C72" s="1" t="s">
        <v>18</v>
      </c>
      <c r="D72" s="1" t="str">
        <f>IFERROR(__xludf.DUMMYFUNCTION("GOOGLETRANSLATE(C72, ""zh-CN"", ""en"")"),"Kashgar area")</f>
        <v>Kashgar area</v>
      </c>
      <c r="E72" s="1" t="s">
        <v>77</v>
      </c>
      <c r="F72" s="1" t="str">
        <f>IFERROR(__xludf.DUMMYFUNCTION("GOOGLETRANSLATE(E72, ""zh-CN"", ""en"")"),"Kashgar City")</f>
        <v>Kashgar City</v>
      </c>
      <c r="G72" s="1">
        <v>6.53101E11</v>
      </c>
    </row>
    <row r="73">
      <c r="A73" s="1" t="s">
        <v>7</v>
      </c>
      <c r="B73" s="2" t="str">
        <f>IFERROR(__xludf.DUMMYFUNCTION("GOOGLETRANSLATE(A73, ""zh-CN"", ""en"")"),"Xinjiang Uygur Autonomous Region")</f>
        <v>Xinjiang Uygur Autonomous Region</v>
      </c>
      <c r="C73" s="1" t="s">
        <v>18</v>
      </c>
      <c r="D73" s="1" t="str">
        <f>IFERROR(__xludf.DUMMYFUNCTION("GOOGLETRANSLATE(C73, ""zh-CN"", ""en"")"),"Kashgar area")</f>
        <v>Kashgar area</v>
      </c>
      <c r="E73" s="1" t="s">
        <v>78</v>
      </c>
      <c r="F73" s="1" t="str">
        <f>IFERROR(__xludf.DUMMYFUNCTION("GOOGLETRANSLATE(E73, ""zh-CN"", ""en"")"),"Shufu County")</f>
        <v>Shufu County</v>
      </c>
      <c r="G73" s="1">
        <v>6.53121E11</v>
      </c>
    </row>
    <row r="74">
      <c r="A74" s="1" t="s">
        <v>7</v>
      </c>
      <c r="B74" s="2" t="str">
        <f>IFERROR(__xludf.DUMMYFUNCTION("GOOGLETRANSLATE(A74, ""zh-CN"", ""en"")"),"Xinjiang Uygur Autonomous Region")</f>
        <v>Xinjiang Uygur Autonomous Region</v>
      </c>
      <c r="C74" s="1" t="s">
        <v>18</v>
      </c>
      <c r="D74" s="1" t="str">
        <f>IFERROR(__xludf.DUMMYFUNCTION("GOOGLETRANSLATE(C74, ""zh-CN"", ""en"")"),"Kashgar area")</f>
        <v>Kashgar area</v>
      </c>
      <c r="E74" s="1" t="s">
        <v>79</v>
      </c>
      <c r="F74" s="1" t="str">
        <f>IFERROR(__xludf.DUMMYFUNCTION("GOOGLETRANSLATE(E74, ""zh-CN"", ""en"")"),"Shule County")</f>
        <v>Shule County</v>
      </c>
      <c r="G74" s="1">
        <v>6.53122E11</v>
      </c>
    </row>
    <row r="75">
      <c r="A75" s="1" t="s">
        <v>7</v>
      </c>
      <c r="B75" s="2" t="str">
        <f>IFERROR(__xludf.DUMMYFUNCTION("GOOGLETRANSLATE(A75, ""zh-CN"", ""en"")"),"Xinjiang Uygur Autonomous Region")</f>
        <v>Xinjiang Uygur Autonomous Region</v>
      </c>
      <c r="C75" s="1" t="s">
        <v>18</v>
      </c>
      <c r="D75" s="1" t="str">
        <f>IFERROR(__xludf.DUMMYFUNCTION("GOOGLETRANSLATE(C75, ""zh-CN"", ""en"")"),"Kashgar area")</f>
        <v>Kashgar area</v>
      </c>
      <c r="E75" s="1" t="s">
        <v>80</v>
      </c>
      <c r="F75" s="1" t="str">
        <f>IFERROR(__xludf.DUMMYFUNCTION("GOOGLETRANSLATE(E75, ""zh-CN"", ""en"")"),"Bingjisha County")</f>
        <v>Bingjisha County</v>
      </c>
      <c r="G75" s="1">
        <v>6.53123E11</v>
      </c>
    </row>
    <row r="76">
      <c r="A76" s="1" t="s">
        <v>7</v>
      </c>
      <c r="B76" s="1" t="str">
        <f>IFERROR(__xludf.DUMMYFUNCTION("GOOGLETRANSLATE(A2, ""zh-CN"", ""en"")"),"Xinjiang Uygur Autonomous Region")</f>
        <v>Xinjiang Uygur Autonomous Region</v>
      </c>
      <c r="C76" s="1" t="s">
        <v>18</v>
      </c>
      <c r="D76" s="1" t="str">
        <f>IFERROR(__xludf.DUMMYFUNCTION("GOOGLETRANSLATE(C76, ""zh-CN"", ""en"")"),"Kashgar area")</f>
        <v>Kashgar area</v>
      </c>
      <c r="E76" s="1" t="s">
        <v>81</v>
      </c>
      <c r="F76" s="1" t="str">
        <f>IFERROR(__xludf.DUMMYFUNCTION("GOOGLETRANSLATE(E76, ""zh-CN"", ""en"")"),"Zepu County")</f>
        <v>Zepu County</v>
      </c>
      <c r="G76" s="1">
        <v>6.53124E11</v>
      </c>
    </row>
    <row r="77">
      <c r="A77" s="1" t="s">
        <v>7</v>
      </c>
      <c r="B77" s="1" t="str">
        <f>IFERROR(__xludf.DUMMYFUNCTION("GOOGLETRANSLATE(A3, ""zh-CN"", ""en"")"),"Xinjiang Uygur Autonomous Region")</f>
        <v>Xinjiang Uygur Autonomous Region</v>
      </c>
      <c r="C77" s="1" t="s">
        <v>18</v>
      </c>
      <c r="D77" s="1" t="str">
        <f>IFERROR(__xludf.DUMMYFUNCTION("GOOGLETRANSLATE(C77, ""zh-CN"", ""en"")"),"Kashgar area")</f>
        <v>Kashgar area</v>
      </c>
      <c r="E77" s="1" t="s">
        <v>82</v>
      </c>
      <c r="F77" s="1" t="str">
        <f>IFERROR(__xludf.DUMMYFUNCTION("GOOGLETRANSLATE(E77, ""zh-CN"", ""en"")"),"Shachache County")</f>
        <v>Shachache County</v>
      </c>
      <c r="G77" s="1">
        <v>6.53125E11</v>
      </c>
    </row>
    <row r="78">
      <c r="A78" s="1" t="s">
        <v>7</v>
      </c>
      <c r="B78" s="1" t="str">
        <f>IFERROR(__xludf.DUMMYFUNCTION("GOOGLETRANSLATE(A4, ""zh-CN"", ""en"")"),"Xinjiang Uygur Autonomous Region")</f>
        <v>Xinjiang Uygur Autonomous Region</v>
      </c>
      <c r="C78" s="1" t="s">
        <v>18</v>
      </c>
      <c r="D78" s="1" t="str">
        <f>IFERROR(__xludf.DUMMYFUNCTION("GOOGLETRANSLATE(C78, ""zh-CN"", ""en"")"),"Kashgar area")</f>
        <v>Kashgar area</v>
      </c>
      <c r="E78" s="1" t="s">
        <v>83</v>
      </c>
      <c r="F78" s="1" t="str">
        <f>IFERROR(__xludf.DUMMYFUNCTION("GOOGLETRANSLATE(E78, ""zh-CN"", ""en"")"),"Yecheng County")</f>
        <v>Yecheng County</v>
      </c>
      <c r="G78" s="1">
        <v>6.53126E11</v>
      </c>
    </row>
    <row r="79">
      <c r="A79" s="1" t="s">
        <v>7</v>
      </c>
      <c r="B79" s="1" t="str">
        <f>IFERROR(__xludf.DUMMYFUNCTION("GOOGLETRANSLATE(A5, ""zh-CN"", ""en"")"),"Xinjiang Uygur Autonomous Region")</f>
        <v>Xinjiang Uygur Autonomous Region</v>
      </c>
      <c r="C79" s="1" t="s">
        <v>18</v>
      </c>
      <c r="D79" s="1" t="str">
        <f>IFERROR(__xludf.DUMMYFUNCTION("GOOGLETRANSLATE(C79, ""zh-CN"", ""en"")"),"Kashgar area")</f>
        <v>Kashgar area</v>
      </c>
      <c r="E79" s="1" t="s">
        <v>84</v>
      </c>
      <c r="F79" s="1" t="str">
        <f>IFERROR(__xludf.DUMMYFUNCTION("GOOGLETRANSLATE(E79, ""zh-CN"", ""en"")"),"Mai Gaiti County")</f>
        <v>Mai Gaiti County</v>
      </c>
      <c r="G79" s="1">
        <v>6.53127E11</v>
      </c>
    </row>
    <row r="80">
      <c r="A80" s="1" t="s">
        <v>7</v>
      </c>
      <c r="B80" s="1" t="str">
        <f>IFERROR(__xludf.DUMMYFUNCTION("GOOGLETRANSLATE(A6, ""zh-CN"", ""en"")"),"Xinjiang Uygur Autonomous Region")</f>
        <v>Xinjiang Uygur Autonomous Region</v>
      </c>
      <c r="C80" s="1" t="s">
        <v>18</v>
      </c>
      <c r="D80" s="1" t="str">
        <f>IFERROR(__xludf.DUMMYFUNCTION("GOOGLETRANSLATE(C80, ""zh-CN"", ""en"")"),"Kashgar area")</f>
        <v>Kashgar area</v>
      </c>
      <c r="E80" s="1" t="s">
        <v>85</v>
      </c>
      <c r="F80" s="1" t="str">
        <f>IFERROR(__xludf.DUMMYFUNCTION("GOOGLETRANSLATE(E80, ""zh-CN"", ""en"")"),"Yuepuhu County")</f>
        <v>Yuepuhu County</v>
      </c>
      <c r="G80" s="1">
        <v>6.53128E11</v>
      </c>
    </row>
    <row r="81">
      <c r="A81" s="1" t="s">
        <v>7</v>
      </c>
      <c r="B81" s="1" t="str">
        <f>IFERROR(__xludf.DUMMYFUNCTION("GOOGLETRANSLATE(A7, ""zh-CN"", ""en"")"),"Xinjiang Uygur Autonomous Region")</f>
        <v>Xinjiang Uygur Autonomous Region</v>
      </c>
      <c r="C81" s="1" t="s">
        <v>18</v>
      </c>
      <c r="D81" s="1" t="str">
        <f>IFERROR(__xludf.DUMMYFUNCTION("GOOGLETRANSLATE(C81, ""zh-CN"", ""en"")"),"Kashgar area")</f>
        <v>Kashgar area</v>
      </c>
      <c r="E81" s="1" t="s">
        <v>86</v>
      </c>
      <c r="F81" s="1" t="str">
        <f>IFERROR(__xludf.DUMMYFUNCTION("GOOGLETRANSLATE(E81, ""zh-CN"", ""en"")"),"Gamen County")</f>
        <v>Gamen County</v>
      </c>
      <c r="G81" s="1">
        <v>6.53129E11</v>
      </c>
    </row>
    <row r="82">
      <c r="A82" s="1" t="s">
        <v>7</v>
      </c>
      <c r="B82" s="1" t="str">
        <f>IFERROR(__xludf.DUMMYFUNCTION("GOOGLETRANSLATE(A8, ""zh-CN"", ""en"")"),"Xinjiang Uygur Autonomous Region")</f>
        <v>Xinjiang Uygur Autonomous Region</v>
      </c>
      <c r="C82" s="1" t="s">
        <v>18</v>
      </c>
      <c r="D82" s="1" t="str">
        <f>IFERROR(__xludf.DUMMYFUNCTION("GOOGLETRANSLATE(C82, ""zh-CN"", ""en"")"),"Kashgar area")</f>
        <v>Kashgar area</v>
      </c>
      <c r="E82" s="1" t="s">
        <v>87</v>
      </c>
      <c r="F82" s="1" t="str">
        <f>IFERROR(__xludf.DUMMYFUNCTION("GOOGLETRANSLATE(E82, ""zh-CN"", ""en"")"),"Barchu County")</f>
        <v>Barchu County</v>
      </c>
      <c r="G82" s="1">
        <v>6.5313E11</v>
      </c>
    </row>
    <row r="83">
      <c r="A83" s="1" t="s">
        <v>7</v>
      </c>
      <c r="B83" s="1" t="str">
        <f>IFERROR(__xludf.DUMMYFUNCTION("GOOGLETRANSLATE(A9, ""zh-CN"", ""en"")"),"Xinjiang Uygur Autonomous Region")</f>
        <v>Xinjiang Uygur Autonomous Region</v>
      </c>
      <c r="C83" s="1" t="s">
        <v>18</v>
      </c>
      <c r="D83" s="1" t="str">
        <f>IFERROR(__xludf.DUMMYFUNCTION("GOOGLETRANSLATE(C83, ""zh-CN"", ""en"")"),"Kashgar area")</f>
        <v>Kashgar area</v>
      </c>
      <c r="E83" s="1" t="s">
        <v>88</v>
      </c>
      <c r="F83" s="1" t="str">
        <f>IFERROR(__xludf.DUMMYFUNCTION("GOOGLETRANSLATE(E83, ""zh-CN"", ""en"")"),"Tashkurgan Tajik Autonomous County")</f>
        <v>Tashkurgan Tajik Autonomous County</v>
      </c>
      <c r="G83" s="1">
        <v>6.53131E11</v>
      </c>
    </row>
    <row r="84">
      <c r="A84" s="1" t="s">
        <v>7</v>
      </c>
      <c r="B84" s="1" t="str">
        <f>IFERROR(__xludf.DUMMYFUNCTION("GOOGLETRANSLATE(A10, ""zh-CN"", ""en"")"),"Xinjiang Uygur Autonomous Region")</f>
        <v>Xinjiang Uygur Autonomous Region</v>
      </c>
      <c r="C84" s="1" t="s">
        <v>19</v>
      </c>
      <c r="D84" s="1" t="str">
        <f>IFERROR(__xludf.DUMMYFUNCTION("GOOGLETRANSLATE(C84, ""zh-CN"", ""en"")"),"Hetian area")</f>
        <v>Hetian area</v>
      </c>
      <c r="E84" s="1" t="s">
        <v>89</v>
      </c>
      <c r="F84" s="1" t="str">
        <f>IFERROR(__xludf.DUMMYFUNCTION("GOOGLETRANSLATE(E84, ""zh-CN"", ""en"")"),"Hetian City")</f>
        <v>Hetian City</v>
      </c>
      <c r="G84" s="1">
        <v>6.53201E11</v>
      </c>
    </row>
    <row r="85">
      <c r="A85" s="1" t="s">
        <v>7</v>
      </c>
      <c r="B85" s="1" t="str">
        <f>IFERROR(__xludf.DUMMYFUNCTION("GOOGLETRANSLATE(A11, ""zh-CN"", ""en"")"),"Xinjiang Uygur Autonomous Region")</f>
        <v>Xinjiang Uygur Autonomous Region</v>
      </c>
      <c r="C85" s="1" t="s">
        <v>19</v>
      </c>
      <c r="D85" s="1" t="str">
        <f>IFERROR(__xludf.DUMMYFUNCTION("GOOGLETRANSLATE(C85, ""zh-CN"", ""en"")"),"Hetian area")</f>
        <v>Hetian area</v>
      </c>
      <c r="E85" s="1" t="s">
        <v>90</v>
      </c>
      <c r="F85" s="1" t="str">
        <f>IFERROR(__xludf.DUMMYFUNCTION("GOOGLETRANSLATE(E85, ""zh-CN"", ""en"")"),"Hetian County")</f>
        <v>Hetian County</v>
      </c>
      <c r="G85" s="1">
        <v>6.53221E11</v>
      </c>
    </row>
    <row r="86">
      <c r="A86" s="1" t="s">
        <v>7</v>
      </c>
      <c r="B86" s="1" t="str">
        <f>IFERROR(__xludf.DUMMYFUNCTION("GOOGLETRANSLATE(A12, ""zh-CN"", ""en"")"),"Xinjiang Uygur Autonomous Region")</f>
        <v>Xinjiang Uygur Autonomous Region</v>
      </c>
      <c r="C86" s="1" t="s">
        <v>19</v>
      </c>
      <c r="D86" s="1" t="str">
        <f>IFERROR(__xludf.DUMMYFUNCTION("GOOGLETRANSLATE(C86, ""zh-CN"", ""en"")"),"Hetian area")</f>
        <v>Hetian area</v>
      </c>
      <c r="E86" s="1" t="s">
        <v>91</v>
      </c>
      <c r="F86" s="1" t="str">
        <f>IFERROR(__xludf.DUMMYFUNCTION("GOOGLETRANSLATE(E86, ""zh-CN"", ""en"")"),"Mo Yu County")</f>
        <v>Mo Yu County</v>
      </c>
      <c r="G86" s="1">
        <v>6.53222E11</v>
      </c>
    </row>
    <row r="87">
      <c r="A87" s="1" t="s">
        <v>7</v>
      </c>
      <c r="B87" s="1" t="str">
        <f>IFERROR(__xludf.DUMMYFUNCTION("GOOGLETRANSLATE(A13, ""zh-CN"", ""en"")"),"Xinjiang Uygur Autonomous Region")</f>
        <v>Xinjiang Uygur Autonomous Region</v>
      </c>
      <c r="C87" s="1" t="s">
        <v>19</v>
      </c>
      <c r="D87" s="1" t="str">
        <f>IFERROR(__xludf.DUMMYFUNCTION("GOOGLETRANSLATE(C87, ""zh-CN"", ""en"")"),"Hetian area")</f>
        <v>Hetian area</v>
      </c>
      <c r="E87" s="1" t="s">
        <v>92</v>
      </c>
      <c r="F87" s="1" t="str">
        <f>IFERROR(__xludf.DUMMYFUNCTION("GOOGLETRANSLATE(E87, ""zh-CN"", ""en"")"),"Pishan County")</f>
        <v>Pishan County</v>
      </c>
      <c r="G87" s="1">
        <v>6.53223E11</v>
      </c>
    </row>
    <row r="88">
      <c r="A88" s="1" t="s">
        <v>7</v>
      </c>
      <c r="B88" s="1" t="str">
        <f>IFERROR(__xludf.DUMMYFUNCTION("GOOGLETRANSLATE(A14, ""zh-CN"", ""en"")"),"Xinjiang Uygur Autonomous Region")</f>
        <v>Xinjiang Uygur Autonomous Region</v>
      </c>
      <c r="C88" s="1" t="s">
        <v>19</v>
      </c>
      <c r="D88" s="1" t="str">
        <f>IFERROR(__xludf.DUMMYFUNCTION("GOOGLETRANSLATE(C88, ""zh-CN"", ""en"")"),"Hetian area")</f>
        <v>Hetian area</v>
      </c>
      <c r="E88" s="1" t="s">
        <v>93</v>
      </c>
      <c r="F88" s="1" t="str">
        <f>IFERROR(__xludf.DUMMYFUNCTION("GOOGLETRANSLATE(E88, ""zh-CN"", ""en"")"),"Luopu County")</f>
        <v>Luopu County</v>
      </c>
      <c r="G88" s="1">
        <v>6.53224E11</v>
      </c>
    </row>
    <row r="89">
      <c r="A89" s="1" t="s">
        <v>7</v>
      </c>
      <c r="B89" s="1" t="str">
        <f>IFERROR(__xludf.DUMMYFUNCTION("GOOGLETRANSLATE(A15, ""zh-CN"", ""en"")"),"Xinjiang Uygur Autonomous Region")</f>
        <v>Xinjiang Uygur Autonomous Region</v>
      </c>
      <c r="C89" s="1" t="s">
        <v>19</v>
      </c>
      <c r="D89" s="1" t="str">
        <f>IFERROR(__xludf.DUMMYFUNCTION("GOOGLETRANSLATE(C89, ""zh-CN"", ""en"")"),"Hetian area")</f>
        <v>Hetian area</v>
      </c>
      <c r="E89" s="1" t="s">
        <v>94</v>
      </c>
      <c r="F89" s="1" t="str">
        <f>IFERROR(__xludf.DUMMYFUNCTION("GOOGLETRANSLATE(E89, ""zh-CN"", ""en"")"),"Cele County")</f>
        <v>Cele County</v>
      </c>
      <c r="G89" s="1">
        <v>6.53225E11</v>
      </c>
    </row>
    <row r="90">
      <c r="A90" s="1" t="s">
        <v>7</v>
      </c>
      <c r="B90" s="1" t="str">
        <f>IFERROR(__xludf.DUMMYFUNCTION("GOOGLETRANSLATE(A16, ""zh-CN"", ""en"")"),"Xinjiang Uygur Autonomous Region")</f>
        <v>Xinjiang Uygur Autonomous Region</v>
      </c>
      <c r="C90" s="1" t="s">
        <v>19</v>
      </c>
      <c r="D90" s="1" t="str">
        <f>IFERROR(__xludf.DUMMYFUNCTION("GOOGLETRANSLATE(C90, ""zh-CN"", ""en"")"),"Hetian area")</f>
        <v>Hetian area</v>
      </c>
      <c r="E90" s="1" t="s">
        <v>95</v>
      </c>
      <c r="F90" s="1" t="str">
        <f>IFERROR(__xludf.DUMMYFUNCTION("GOOGLETRANSLATE(E90, ""zh-CN"", ""en"")"),"Yutian County")</f>
        <v>Yutian County</v>
      </c>
      <c r="G90" s="1">
        <v>6.53226E11</v>
      </c>
    </row>
    <row r="91">
      <c r="A91" s="1" t="s">
        <v>7</v>
      </c>
      <c r="B91" s="1" t="str">
        <f>IFERROR(__xludf.DUMMYFUNCTION("GOOGLETRANSLATE(A17, ""zh-CN"", ""en"")"),"Xinjiang Uygur Autonomous Region")</f>
        <v>Xinjiang Uygur Autonomous Region</v>
      </c>
      <c r="C91" s="1" t="s">
        <v>19</v>
      </c>
      <c r="D91" s="1" t="str">
        <f>IFERROR(__xludf.DUMMYFUNCTION("GOOGLETRANSLATE(C91, ""zh-CN"", ""en"")"),"Hetian area")</f>
        <v>Hetian area</v>
      </c>
      <c r="E91" s="1" t="s">
        <v>96</v>
      </c>
      <c r="F91" s="1" t="str">
        <f>IFERROR(__xludf.DUMMYFUNCTION("GOOGLETRANSLATE(E91, ""zh-CN"", ""en"")"),"Minfeng County")</f>
        <v>Minfeng County</v>
      </c>
      <c r="G91" s="1">
        <v>6.53227E11</v>
      </c>
    </row>
    <row r="92">
      <c r="A92" s="1" t="s">
        <v>7</v>
      </c>
      <c r="B92" s="1" t="str">
        <f>IFERROR(__xludf.DUMMYFUNCTION("GOOGLETRANSLATE(A18, ""zh-CN"", ""en"")"),"Xinjiang Uygur Autonomous Region")</f>
        <v>Xinjiang Uygur Autonomous Region</v>
      </c>
      <c r="C92" s="1" t="s">
        <v>20</v>
      </c>
      <c r="D92" s="1" t="str">
        <f>IFERROR(__xludf.DUMMYFUNCTION("GOOGLETRANSLATE(C92, ""zh-CN"", ""en"")"),"Ili Kazakh Autonomous Prefecture")</f>
        <v>Ili Kazakh Autonomous Prefecture</v>
      </c>
      <c r="E92" s="1" t="s">
        <v>97</v>
      </c>
      <c r="F92" s="1" t="str">
        <f>IFERROR(__xludf.DUMMYFUNCTION("GOOGLETRANSLATE(E92, ""zh-CN"", ""en"")"),"Yining City")</f>
        <v>Yining City</v>
      </c>
      <c r="G92" s="1">
        <v>6.54002E11</v>
      </c>
    </row>
    <row r="93">
      <c r="A93" s="1" t="s">
        <v>7</v>
      </c>
      <c r="B93" s="1" t="str">
        <f>IFERROR(__xludf.DUMMYFUNCTION("GOOGLETRANSLATE(A19, ""zh-CN"", ""en"")"),"Xinjiang Uygur Autonomous Region")</f>
        <v>Xinjiang Uygur Autonomous Region</v>
      </c>
      <c r="C93" s="1" t="s">
        <v>20</v>
      </c>
      <c r="D93" s="1" t="str">
        <f>IFERROR(__xludf.DUMMYFUNCTION("GOOGLETRANSLATE(C93, ""zh-CN"", ""en"")"),"Ili Kazakh Autonomous Prefecture")</f>
        <v>Ili Kazakh Autonomous Prefecture</v>
      </c>
      <c r="E93" s="1" t="s">
        <v>98</v>
      </c>
      <c r="F93" s="1" t="str">
        <f>IFERROR(__xludf.DUMMYFUNCTION("GOOGLETRANSLATE(E93, ""zh-CN"", ""en"")"),"Kui Tun City")</f>
        <v>Kui Tun City</v>
      </c>
      <c r="G93" s="1">
        <v>6.54003E11</v>
      </c>
    </row>
    <row r="94">
      <c r="A94" s="1" t="s">
        <v>7</v>
      </c>
      <c r="B94" s="1" t="str">
        <f>IFERROR(__xludf.DUMMYFUNCTION("GOOGLETRANSLATE(A20, ""zh-CN"", ""en"")"),"Xinjiang Uygur Autonomous Region")</f>
        <v>Xinjiang Uygur Autonomous Region</v>
      </c>
      <c r="C94" s="1" t="s">
        <v>20</v>
      </c>
      <c r="D94" s="1" t="str">
        <f>IFERROR(__xludf.DUMMYFUNCTION("GOOGLETRANSLATE(C94, ""zh-CN"", ""en"")"),"Ili Kazakh Autonomous Prefecture")</f>
        <v>Ili Kazakh Autonomous Prefecture</v>
      </c>
      <c r="E94" s="1" t="s">
        <v>99</v>
      </c>
      <c r="F94" s="1" t="str">
        <f>IFERROR(__xludf.DUMMYFUNCTION("GOOGLETRANSLATE(E94, ""zh-CN"", ""en"")"),"Horgos City")</f>
        <v>Horgos City</v>
      </c>
      <c r="G94" s="1">
        <v>6.54004E11</v>
      </c>
    </row>
    <row r="95">
      <c r="A95" s="1" t="s">
        <v>7</v>
      </c>
      <c r="B95" s="1" t="str">
        <f>IFERROR(__xludf.DUMMYFUNCTION("GOOGLETRANSLATE(A21, ""zh-CN"", ""en"")"),"Xinjiang Uygur Autonomous Region")</f>
        <v>Xinjiang Uygur Autonomous Region</v>
      </c>
      <c r="C95" s="1" t="s">
        <v>20</v>
      </c>
      <c r="D95" s="1" t="str">
        <f>IFERROR(__xludf.DUMMYFUNCTION("GOOGLETRANSLATE(C95, ""zh-CN"", ""en"")"),"Ili Kazakh Autonomous Prefecture")</f>
        <v>Ili Kazakh Autonomous Prefecture</v>
      </c>
      <c r="E95" s="1" t="s">
        <v>100</v>
      </c>
      <c r="F95" s="1" t="str">
        <f>IFERROR(__xludf.DUMMYFUNCTION("GOOGLETRANSLATE(E95, ""zh-CN"", ""en"")"),"Yining County")</f>
        <v>Yining County</v>
      </c>
      <c r="G95" s="1">
        <v>6.54021E11</v>
      </c>
    </row>
    <row r="96">
      <c r="A96" s="1" t="s">
        <v>7</v>
      </c>
      <c r="B96" s="1" t="str">
        <f>IFERROR(__xludf.DUMMYFUNCTION("GOOGLETRANSLATE(A22, ""zh-CN"", ""en"")"),"Xinjiang Uygur Autonomous Region")</f>
        <v>Xinjiang Uygur Autonomous Region</v>
      </c>
      <c r="C96" s="1" t="s">
        <v>20</v>
      </c>
      <c r="D96" s="1" t="str">
        <f>IFERROR(__xludf.DUMMYFUNCTION("GOOGLETRANSLATE(C96, ""zh-CN"", ""en"")"),"Ili Kazakh Autonomous Prefecture")</f>
        <v>Ili Kazakh Autonomous Prefecture</v>
      </c>
      <c r="E96" s="1" t="s">
        <v>101</v>
      </c>
      <c r="F96" s="1" t="str">
        <f>IFERROR(__xludf.DUMMYFUNCTION("GOOGLETRANSLATE(E96, ""zh-CN"", ""en"")"),"Chabchar Xibo Autonomous County")</f>
        <v>Chabchar Xibo Autonomous County</v>
      </c>
      <c r="G96" s="1">
        <v>6.54022E11</v>
      </c>
    </row>
    <row r="97">
      <c r="A97" s="1" t="s">
        <v>7</v>
      </c>
      <c r="B97" s="1" t="str">
        <f>IFERROR(__xludf.DUMMYFUNCTION("GOOGLETRANSLATE(A23, ""zh-CN"", ""en"")"),"Xinjiang Uygur Autonomous Region")</f>
        <v>Xinjiang Uygur Autonomous Region</v>
      </c>
      <c r="C97" s="1" t="s">
        <v>20</v>
      </c>
      <c r="D97" s="1" t="str">
        <f>IFERROR(__xludf.DUMMYFUNCTION("GOOGLETRANSLATE(C97, ""zh-CN"", ""en"")"),"Ili Kazakh Autonomous Prefecture")</f>
        <v>Ili Kazakh Autonomous Prefecture</v>
      </c>
      <c r="E97" s="1" t="s">
        <v>102</v>
      </c>
      <c r="F97" s="1" t="str">
        <f>IFERROR(__xludf.DUMMYFUNCTION("GOOGLETRANSLATE(E97, ""zh-CN"", ""en"")"),"Huocheng County")</f>
        <v>Huocheng County</v>
      </c>
      <c r="G97" s="1">
        <v>6.54023E11</v>
      </c>
    </row>
    <row r="98">
      <c r="A98" s="1" t="s">
        <v>7</v>
      </c>
      <c r="B98" s="1" t="str">
        <f>IFERROR(__xludf.DUMMYFUNCTION("GOOGLETRANSLATE(A24, ""zh-CN"", ""en"")"),"Xinjiang Uygur Autonomous Region")</f>
        <v>Xinjiang Uygur Autonomous Region</v>
      </c>
      <c r="C98" s="1" t="s">
        <v>20</v>
      </c>
      <c r="D98" s="1" t="str">
        <f>IFERROR(__xludf.DUMMYFUNCTION("GOOGLETRANSLATE(C98, ""zh-CN"", ""en"")"),"Ili Kazakh Autonomous Prefecture")</f>
        <v>Ili Kazakh Autonomous Prefecture</v>
      </c>
      <c r="E98" s="1" t="s">
        <v>103</v>
      </c>
      <c r="F98" s="1" t="str">
        <f>IFERROR(__xludf.DUMMYFUNCTION("GOOGLETRANSLATE(E98, ""zh-CN"", ""en"")"),"Gongliu County")</f>
        <v>Gongliu County</v>
      </c>
      <c r="G98" s="1">
        <v>6.54024E11</v>
      </c>
    </row>
    <row r="99">
      <c r="A99" s="1" t="s">
        <v>7</v>
      </c>
      <c r="B99" s="1" t="str">
        <f>IFERROR(__xludf.DUMMYFUNCTION("GOOGLETRANSLATE(A25, ""zh-CN"", ""en"")"),"Xinjiang Uygur Autonomous Region")</f>
        <v>Xinjiang Uygur Autonomous Region</v>
      </c>
      <c r="C99" s="1" t="s">
        <v>20</v>
      </c>
      <c r="D99" s="1" t="str">
        <f>IFERROR(__xludf.DUMMYFUNCTION("GOOGLETRANSLATE(C99, ""zh-CN"", ""en"")"),"Ili Kazakh Autonomous Prefecture")</f>
        <v>Ili Kazakh Autonomous Prefecture</v>
      </c>
      <c r="E99" s="1" t="s">
        <v>104</v>
      </c>
      <c r="F99" s="1" t="str">
        <f>IFERROR(__xludf.DUMMYFUNCTION("GOOGLETRANSLATE(E99, ""zh-CN"", ""en"")"),"Xinyuan County")</f>
        <v>Xinyuan County</v>
      </c>
      <c r="G99" s="1">
        <v>6.54025E11</v>
      </c>
    </row>
    <row r="100">
      <c r="A100" s="1" t="s">
        <v>7</v>
      </c>
      <c r="B100" s="1" t="str">
        <f>IFERROR(__xludf.DUMMYFUNCTION("GOOGLETRANSLATE(A26, ""zh-CN"", ""en"")"),"Xinjiang Uygur Autonomous Region")</f>
        <v>Xinjiang Uygur Autonomous Region</v>
      </c>
      <c r="C100" s="1" t="s">
        <v>20</v>
      </c>
      <c r="D100" s="1" t="str">
        <f>IFERROR(__xludf.DUMMYFUNCTION("GOOGLETRANSLATE(C100, ""zh-CN"", ""en"")"),"Ili Kazakh Autonomous Prefecture")</f>
        <v>Ili Kazakh Autonomous Prefecture</v>
      </c>
      <c r="E100" s="1" t="s">
        <v>105</v>
      </c>
      <c r="F100" s="1" t="str">
        <f>IFERROR(__xludf.DUMMYFUNCTION("GOOGLETRANSLATE(E100, ""zh-CN"", ""en"")"),"Zhaosu County")</f>
        <v>Zhaosu County</v>
      </c>
      <c r="G100" s="1">
        <v>6.54026E11</v>
      </c>
    </row>
    <row r="101">
      <c r="A101" s="1" t="s">
        <v>7</v>
      </c>
      <c r="B101" s="1" t="str">
        <f>IFERROR(__xludf.DUMMYFUNCTION("GOOGLETRANSLATE(A27, ""zh-CN"", ""en"")"),"Xinjiang Uygur Autonomous Region")</f>
        <v>Xinjiang Uygur Autonomous Region</v>
      </c>
      <c r="C101" s="1" t="s">
        <v>20</v>
      </c>
      <c r="D101" s="1" t="str">
        <f>IFERROR(__xludf.DUMMYFUNCTION("GOOGLETRANSLATE(C101, ""zh-CN"", ""en"")"),"Ili Kazakh Autonomous Prefecture")</f>
        <v>Ili Kazakh Autonomous Prefecture</v>
      </c>
      <c r="E101" s="1" t="s">
        <v>106</v>
      </c>
      <c r="F101" s="1" t="str">
        <f>IFERROR(__xludf.DUMMYFUNCTION("GOOGLETRANSLATE(E101, ""zh-CN"", ""en"")"),"Tax County")</f>
        <v>Tax County</v>
      </c>
      <c r="G101" s="1">
        <v>6.54027E11</v>
      </c>
    </row>
    <row r="102">
      <c r="A102" s="1" t="s">
        <v>7</v>
      </c>
      <c r="B102" s="1" t="str">
        <f>IFERROR(__xludf.DUMMYFUNCTION("GOOGLETRANSLATE(A28, ""zh-CN"", ""en"")"),"Xinjiang Uygur Autonomous Region")</f>
        <v>Xinjiang Uygur Autonomous Region</v>
      </c>
      <c r="C102" s="1" t="s">
        <v>20</v>
      </c>
      <c r="D102" s="1" t="str">
        <f>IFERROR(__xludf.DUMMYFUNCTION("GOOGLETRANSLATE(C102, ""zh-CN"", ""en"")"),"Ili Kazakh Autonomous Prefecture")</f>
        <v>Ili Kazakh Autonomous Prefecture</v>
      </c>
      <c r="E102" s="1" t="s">
        <v>107</v>
      </c>
      <c r="F102" s="1" t="str">
        <f>IFERROR(__xludf.DUMMYFUNCTION("GOOGLETRANSLATE(E102, ""zh-CN"", ""en"")"),"Nilek County")</f>
        <v>Nilek County</v>
      </c>
      <c r="G102" s="1">
        <v>6.54028E11</v>
      </c>
    </row>
    <row r="103">
      <c r="A103" s="1" t="s">
        <v>7</v>
      </c>
      <c r="B103" s="1" t="str">
        <f>IFERROR(__xludf.DUMMYFUNCTION("GOOGLETRANSLATE(A29, ""zh-CN"", ""en"")"),"Xinjiang Uygur Autonomous Region")</f>
        <v>Xinjiang Uygur Autonomous Region</v>
      </c>
      <c r="C103" s="1" t="s">
        <v>21</v>
      </c>
      <c r="D103" s="1" t="str">
        <f>IFERROR(__xludf.DUMMYFUNCTION("GOOGLETRANSLATE(C103, ""zh-CN"", ""en"")"),"Tower")</f>
        <v>Tower</v>
      </c>
      <c r="E103" s="1" t="s">
        <v>108</v>
      </c>
      <c r="F103" s="1" t="str">
        <f>IFERROR(__xludf.DUMMYFUNCTION("GOOGLETRANSLATE(E103, ""zh-CN"", ""en"")"),"Tower city")</f>
        <v>Tower city</v>
      </c>
      <c r="G103" s="1">
        <v>6.54201E11</v>
      </c>
    </row>
    <row r="104">
      <c r="A104" s="1" t="s">
        <v>7</v>
      </c>
      <c r="B104" s="1" t="str">
        <f>IFERROR(__xludf.DUMMYFUNCTION("GOOGLETRANSLATE(A30, ""zh-CN"", ""en"")"),"Xinjiang Uygur Autonomous Region")</f>
        <v>Xinjiang Uygur Autonomous Region</v>
      </c>
      <c r="C104" s="1" t="s">
        <v>21</v>
      </c>
      <c r="D104" s="1" t="str">
        <f>IFERROR(__xludf.DUMMYFUNCTION("GOOGLETRANSLATE(C104, ""zh-CN"", ""en"")"),"Tower")</f>
        <v>Tower</v>
      </c>
      <c r="E104" s="1" t="s">
        <v>109</v>
      </c>
      <c r="F104" s="1" t="str">
        <f>IFERROR(__xludf.DUMMYFUNCTION("GOOGLETRANSLATE(E104, ""zh-CN"", ""en"")"),"Wusu City")</f>
        <v>Wusu City</v>
      </c>
      <c r="G104" s="1">
        <v>6.54202E11</v>
      </c>
    </row>
    <row r="105">
      <c r="A105" s="1" t="s">
        <v>7</v>
      </c>
      <c r="B105" s="1" t="str">
        <f>IFERROR(__xludf.DUMMYFUNCTION("GOOGLETRANSLATE(A31, ""zh-CN"", ""en"")"),"Xinjiang Uygur Autonomous Region")</f>
        <v>Xinjiang Uygur Autonomous Region</v>
      </c>
      <c r="C105" s="1" t="s">
        <v>21</v>
      </c>
      <c r="D105" s="1" t="str">
        <f>IFERROR(__xludf.DUMMYFUNCTION("GOOGLETRANSLATE(C105, ""zh-CN"", ""en"")"),"Tower")</f>
        <v>Tower</v>
      </c>
      <c r="E105" s="1" t="s">
        <v>110</v>
      </c>
      <c r="F105" s="1" t="str">
        <f>IFERROR(__xludf.DUMMYFUNCTION("GOOGLETRANSLATE(E105, ""zh-CN"", ""en"")"),"Shawan City")</f>
        <v>Shawan City</v>
      </c>
      <c r="G105" s="1">
        <v>6.54203E11</v>
      </c>
    </row>
    <row r="106">
      <c r="A106" s="1" t="s">
        <v>7</v>
      </c>
      <c r="B106" s="1" t="str">
        <f>IFERROR(__xludf.DUMMYFUNCTION("GOOGLETRANSLATE(A32, ""zh-CN"", ""en"")"),"Xinjiang Uygur Autonomous Region")</f>
        <v>Xinjiang Uygur Autonomous Region</v>
      </c>
      <c r="C106" s="1" t="s">
        <v>21</v>
      </c>
      <c r="D106" s="1" t="str">
        <f>IFERROR(__xludf.DUMMYFUNCTION("GOOGLETRANSLATE(C106, ""zh-CN"", ""en"")"),"Tower")</f>
        <v>Tower</v>
      </c>
      <c r="E106" s="1" t="s">
        <v>111</v>
      </c>
      <c r="F106" s="1" t="str">
        <f>IFERROR(__xludf.DUMMYFUNCTION("GOOGLETRANSLATE(E106, ""zh-CN"", ""en"")"),"Ermin County")</f>
        <v>Ermin County</v>
      </c>
      <c r="G106" s="1">
        <v>6.54221E11</v>
      </c>
    </row>
    <row r="107">
      <c r="A107" s="1" t="s">
        <v>7</v>
      </c>
      <c r="B107" s="1" t="str">
        <f>IFERROR(__xludf.DUMMYFUNCTION("GOOGLETRANSLATE(A33, ""zh-CN"", ""en"")"),"Xinjiang Uygur Autonomous Region")</f>
        <v>Xinjiang Uygur Autonomous Region</v>
      </c>
      <c r="C107" s="1" t="s">
        <v>21</v>
      </c>
      <c r="D107" s="1" t="str">
        <f>IFERROR(__xludf.DUMMYFUNCTION("GOOGLETRANSLATE(C107, ""zh-CN"", ""en"")"),"Tower")</f>
        <v>Tower</v>
      </c>
      <c r="E107" s="1" t="s">
        <v>112</v>
      </c>
      <c r="F107" s="1" t="str">
        <f>IFERROR(__xludf.DUMMYFUNCTION("GOOGLETRANSLATE(E107, ""zh-CN"", ""en"")"),"Tori County")</f>
        <v>Tori County</v>
      </c>
      <c r="G107" s="1">
        <v>6.54224E11</v>
      </c>
    </row>
    <row r="108">
      <c r="A108" s="1" t="s">
        <v>7</v>
      </c>
      <c r="B108" s="1" t="str">
        <f>IFERROR(__xludf.DUMMYFUNCTION("GOOGLETRANSLATE(A34, ""zh-CN"", ""en"")"),"Xinjiang Uygur Autonomous Region")</f>
        <v>Xinjiang Uygur Autonomous Region</v>
      </c>
      <c r="C108" s="1" t="s">
        <v>21</v>
      </c>
      <c r="D108" s="1" t="str">
        <f>IFERROR(__xludf.DUMMYFUNCTION("GOOGLETRANSLATE(C108, ""zh-CN"", ""en"")"),"Tower")</f>
        <v>Tower</v>
      </c>
      <c r="E108" s="1" t="s">
        <v>113</v>
      </c>
      <c r="F108" s="1" t="str">
        <f>IFERROR(__xludf.DUMMYFUNCTION("GOOGLETRANSLATE(E108, ""zh-CN"", ""en"")"),"Yumin County")</f>
        <v>Yumin County</v>
      </c>
      <c r="G108" s="1">
        <v>6.54225E11</v>
      </c>
    </row>
    <row r="109">
      <c r="A109" s="1" t="s">
        <v>7</v>
      </c>
      <c r="B109" s="1" t="str">
        <f>IFERROR(__xludf.DUMMYFUNCTION("GOOGLETRANSLATE(A35, ""zh-CN"", ""en"")"),"Xinjiang Uygur Autonomous Region")</f>
        <v>Xinjiang Uygur Autonomous Region</v>
      </c>
      <c r="C109" s="1" t="s">
        <v>21</v>
      </c>
      <c r="D109" s="1" t="str">
        <f>IFERROR(__xludf.DUMMYFUNCTION("GOOGLETRANSLATE(C109, ""zh-CN"", ""en"")"),"Tower")</f>
        <v>Tower</v>
      </c>
      <c r="E109" s="1" t="s">
        <v>114</v>
      </c>
      <c r="F109" s="1" t="str">
        <f>IFERROR(__xludf.DUMMYFUNCTION("GOOGLETRANSLATE(E109, ""zh-CN"", ""en"")"),"And Bucksl Mongolia Autonomous County")</f>
        <v>And Bucksl Mongolia Autonomous County</v>
      </c>
      <c r="G109" s="1">
        <v>6.54226E11</v>
      </c>
    </row>
    <row r="110">
      <c r="A110" s="1" t="s">
        <v>7</v>
      </c>
      <c r="B110" s="1" t="str">
        <f>IFERROR(__xludf.DUMMYFUNCTION("GOOGLETRANSLATE(A36, ""zh-CN"", ""en"")"),"Xinjiang Uygur Autonomous Region")</f>
        <v>Xinjiang Uygur Autonomous Region</v>
      </c>
      <c r="C110" s="1" t="s">
        <v>22</v>
      </c>
      <c r="D110" s="1" t="str">
        <f>IFERROR(__xludf.DUMMYFUNCTION("GOOGLETRANSLATE(C110, ""zh-CN"", ""en"")"),"Altay area")</f>
        <v>Altay area</v>
      </c>
      <c r="E110" s="1" t="s">
        <v>115</v>
      </c>
      <c r="F110" s="1" t="str">
        <f>IFERROR(__xludf.DUMMYFUNCTION("GOOGLETRANSLATE(E110, ""zh-CN"", ""en"")"),"Altay City")</f>
        <v>Altay City</v>
      </c>
      <c r="G110" s="1">
        <v>6.54301E11</v>
      </c>
    </row>
    <row r="111">
      <c r="A111" s="1" t="s">
        <v>7</v>
      </c>
      <c r="B111" s="1" t="str">
        <f>IFERROR(__xludf.DUMMYFUNCTION("GOOGLETRANSLATE(A37, ""zh-CN"", ""en"")"),"Xinjiang Uygur Autonomous Region")</f>
        <v>Xinjiang Uygur Autonomous Region</v>
      </c>
      <c r="C111" s="1" t="s">
        <v>22</v>
      </c>
      <c r="D111" s="1" t="str">
        <f>IFERROR(__xludf.DUMMYFUNCTION("GOOGLETRANSLATE(C111, ""zh-CN"", ""en"")"),"Altay area")</f>
        <v>Altay area</v>
      </c>
      <c r="E111" s="1" t="s">
        <v>116</v>
      </c>
      <c r="F111" s="1" t="str">
        <f>IFERROR(__xludf.DUMMYFUNCTION("GOOGLETRANSLATE(E111, ""zh-CN"", ""en"")"),"Burjin County")</f>
        <v>Burjin County</v>
      </c>
      <c r="G111" s="1">
        <v>6.54321E11</v>
      </c>
    </row>
    <row r="112">
      <c r="A112" s="1" t="s">
        <v>7</v>
      </c>
      <c r="B112" s="1" t="str">
        <f>IFERROR(__xludf.DUMMYFUNCTION("GOOGLETRANSLATE(A38, ""zh-CN"", ""en"")"),"Xinjiang Uygur Autonomous Region")</f>
        <v>Xinjiang Uygur Autonomous Region</v>
      </c>
      <c r="C112" s="1" t="s">
        <v>22</v>
      </c>
      <c r="D112" s="1" t="str">
        <f>IFERROR(__xludf.DUMMYFUNCTION("GOOGLETRANSLATE(C112, ""zh-CN"", ""en"")"),"Altay area")</f>
        <v>Altay area</v>
      </c>
      <c r="E112" s="1" t="s">
        <v>117</v>
      </c>
      <c r="F112" s="1" t="str">
        <f>IFERROR(__xludf.DUMMYFUNCTION("GOOGLETRANSLATE(E112, ""zh-CN"", ""en"")"),"Fuyun County")</f>
        <v>Fuyun County</v>
      </c>
      <c r="G112" s="1">
        <v>6.54322E11</v>
      </c>
    </row>
    <row r="113">
      <c r="A113" s="1" t="s">
        <v>7</v>
      </c>
      <c r="B113" s="1" t="str">
        <f>IFERROR(__xludf.DUMMYFUNCTION("GOOGLETRANSLATE(A39, ""zh-CN"", ""en"")"),"Xinjiang Uygur Autonomous Region")</f>
        <v>Xinjiang Uygur Autonomous Region</v>
      </c>
      <c r="C113" s="1" t="s">
        <v>22</v>
      </c>
      <c r="D113" s="1" t="str">
        <f>IFERROR(__xludf.DUMMYFUNCTION("GOOGLETRANSLATE(C113, ""zh-CN"", ""en"")"),"Altay area")</f>
        <v>Altay area</v>
      </c>
      <c r="E113" s="1" t="s">
        <v>118</v>
      </c>
      <c r="F113" s="1" t="str">
        <f>IFERROR(__xludf.DUMMYFUNCTION("GOOGLETRANSLATE(E113, ""zh-CN"", ""en"")"),"Fuhai County")</f>
        <v>Fuhai County</v>
      </c>
      <c r="G113" s="1">
        <v>6.54323E11</v>
      </c>
    </row>
    <row r="114">
      <c r="A114" s="1" t="s">
        <v>7</v>
      </c>
      <c r="B114" s="1" t="str">
        <f>IFERROR(__xludf.DUMMYFUNCTION("GOOGLETRANSLATE(A40, ""zh-CN"", ""en"")"),"Xinjiang Uygur Autonomous Region")</f>
        <v>Xinjiang Uygur Autonomous Region</v>
      </c>
      <c r="C114" s="1" t="s">
        <v>22</v>
      </c>
      <c r="D114" s="1" t="str">
        <f>IFERROR(__xludf.DUMMYFUNCTION("GOOGLETRANSLATE(C114, ""zh-CN"", ""en"")"),"Altay area")</f>
        <v>Altay area</v>
      </c>
      <c r="E114" s="1" t="s">
        <v>119</v>
      </c>
      <c r="F114" s="1" t="str">
        <f>IFERROR(__xludf.DUMMYFUNCTION("GOOGLETRANSLATE(E114, ""zh-CN"", ""en"")"),"Habahe County")</f>
        <v>Habahe County</v>
      </c>
      <c r="G114" s="1">
        <v>6.54324E11</v>
      </c>
    </row>
    <row r="115">
      <c r="A115" s="1" t="s">
        <v>7</v>
      </c>
      <c r="B115" s="1" t="str">
        <f>IFERROR(__xludf.DUMMYFUNCTION("GOOGLETRANSLATE(A41, ""zh-CN"", ""en"")"),"Xinjiang Uygur Autonomous Region")</f>
        <v>Xinjiang Uygur Autonomous Region</v>
      </c>
      <c r="C115" s="1" t="s">
        <v>22</v>
      </c>
      <c r="D115" s="1" t="str">
        <f>IFERROR(__xludf.DUMMYFUNCTION("GOOGLETRANSLATE(C115, ""zh-CN"", ""en"")"),"Altay area")</f>
        <v>Altay area</v>
      </c>
      <c r="E115" s="1" t="s">
        <v>120</v>
      </c>
      <c r="F115" s="1" t="str">
        <f>IFERROR(__xludf.DUMMYFUNCTION("GOOGLETRANSLATE(E115, ""zh-CN"", ""en"")"),"Qinghe County")</f>
        <v>Qinghe County</v>
      </c>
      <c r="G115" s="1">
        <v>6.54325E11</v>
      </c>
    </row>
    <row r="116">
      <c r="A116" s="1" t="s">
        <v>7</v>
      </c>
      <c r="B116" s="1" t="str">
        <f>IFERROR(__xludf.DUMMYFUNCTION("GOOGLETRANSLATE(A42, ""zh-CN"", ""en"")"),"Xinjiang Uygur Autonomous Region")</f>
        <v>Xinjiang Uygur Autonomous Region</v>
      </c>
      <c r="C116" s="1" t="s">
        <v>22</v>
      </c>
      <c r="D116" s="1" t="str">
        <f>IFERROR(__xludf.DUMMYFUNCTION("GOOGLETRANSLATE(C116, ""zh-CN"", ""en"")"),"Altay area")</f>
        <v>Altay area</v>
      </c>
      <c r="E116" s="1" t="s">
        <v>121</v>
      </c>
      <c r="F116" s="1" t="str">
        <f>IFERROR(__xludf.DUMMYFUNCTION("GOOGLETRANSLATE(E116, ""zh-CN"", ""en"")"),"Jimuka Prefecture")</f>
        <v>Jimuka Prefecture</v>
      </c>
      <c r="G116" s="1">
        <v>6.54326E11</v>
      </c>
    </row>
    <row r="117">
      <c r="A117" s="1" t="s">
        <v>7</v>
      </c>
      <c r="B117" s="1" t="str">
        <f>IFERROR(__xludf.DUMMYFUNCTION("GOOGLETRANSLATE(A43, ""zh-CN"", ""en"")"),"Xinjiang Uygur Autonomous Region")</f>
        <v>Xinjiang Uygur Autonomous Region</v>
      </c>
      <c r="C117" s="1" t="s">
        <v>23</v>
      </c>
      <c r="D117" s="1" t="str">
        <f>IFERROR(__xludf.DUMMYFUNCTION("GOOGLETRANSLATE(C117, ""zh-CN"", ""en"")"),"Autonomous Region's directly under the jurisdiction of county -level administrative divisions")</f>
        <v>Autonomous Region's directly under the jurisdiction of county -level administrative divisions</v>
      </c>
      <c r="E117" s="1" t="s">
        <v>122</v>
      </c>
      <c r="F117" s="1" t="str">
        <f>IFERROR(__xludf.DUMMYFUNCTION("GOOGLETRANSLATE(E117, ""zh-CN"", ""en"")"),"Shihezi City")</f>
        <v>Shihezi City</v>
      </c>
      <c r="G117" s="1">
        <v>6.59001E11</v>
      </c>
    </row>
    <row r="118">
      <c r="A118" s="1" t="s">
        <v>7</v>
      </c>
      <c r="B118" s="1" t="str">
        <f>IFERROR(__xludf.DUMMYFUNCTION("GOOGLETRANSLATE(A44, ""zh-CN"", ""en"")"),"Xinjiang Uygur Autonomous Region")</f>
        <v>Xinjiang Uygur Autonomous Region</v>
      </c>
      <c r="C118" s="1" t="s">
        <v>23</v>
      </c>
      <c r="D118" s="1" t="str">
        <f>IFERROR(__xludf.DUMMYFUNCTION("GOOGLETRANSLATE(C118, ""zh-CN"", ""en"")"),"Autonomous Region's directly under the jurisdiction of county -level administrative divisions")</f>
        <v>Autonomous Region's directly under the jurisdiction of county -level administrative divisions</v>
      </c>
      <c r="E118" s="1" t="s">
        <v>123</v>
      </c>
      <c r="F118" s="1" t="str">
        <f>IFERROR(__xludf.DUMMYFUNCTION("GOOGLETRANSLATE(E118, ""zh-CN"", ""en"")"),"Alar")</f>
        <v>Alar</v>
      </c>
      <c r="G118" s="1">
        <v>6.59002E11</v>
      </c>
    </row>
    <row r="119">
      <c r="A119" s="1" t="s">
        <v>7</v>
      </c>
      <c r="B119" s="1" t="str">
        <f>IFERROR(__xludf.DUMMYFUNCTION("GOOGLETRANSLATE(A45, ""zh-CN"", ""en"")"),"Xinjiang Uygur Autonomous Region")</f>
        <v>Xinjiang Uygur Autonomous Region</v>
      </c>
      <c r="C119" s="1" t="s">
        <v>23</v>
      </c>
      <c r="D119" s="1" t="str">
        <f>IFERROR(__xludf.DUMMYFUNCTION("GOOGLETRANSLATE(C119, ""zh-CN"", ""en"")"),"Autonomous Region's directly under the jurisdiction of county -level administrative divisions")</f>
        <v>Autonomous Region's directly under the jurisdiction of county -level administrative divisions</v>
      </c>
      <c r="E119" s="1" t="s">
        <v>124</v>
      </c>
      <c r="F119" s="1" t="str">
        <f>IFERROR(__xludf.DUMMYFUNCTION("GOOGLETRANSLATE(E119, ""zh-CN"", ""en"")"),"Tumushu City")</f>
        <v>Tumushu City</v>
      </c>
      <c r="G119" s="1">
        <v>6.59003E11</v>
      </c>
    </row>
    <row r="120">
      <c r="A120" s="1" t="s">
        <v>7</v>
      </c>
      <c r="B120" s="1" t="str">
        <f>IFERROR(__xludf.DUMMYFUNCTION("GOOGLETRANSLATE(A46, ""zh-CN"", ""en"")"),"Xinjiang Uygur Autonomous Region")</f>
        <v>Xinjiang Uygur Autonomous Region</v>
      </c>
      <c r="C120" s="1" t="s">
        <v>23</v>
      </c>
      <c r="D120" s="1" t="str">
        <f>IFERROR(__xludf.DUMMYFUNCTION("GOOGLETRANSLATE(C120, ""zh-CN"", ""en"")"),"Autonomous Region's directly under the jurisdiction of county -level administrative divisions")</f>
        <v>Autonomous Region's directly under the jurisdiction of county -level administrative divisions</v>
      </c>
      <c r="E120" s="1" t="s">
        <v>125</v>
      </c>
      <c r="F120" s="1" t="str">
        <f>IFERROR(__xludf.DUMMYFUNCTION("GOOGLETRANSLATE(E120, ""zh-CN"", ""en"")"),"Wujiaqu City")</f>
        <v>Wujiaqu City</v>
      </c>
      <c r="G120" s="1">
        <v>6.59004E11</v>
      </c>
    </row>
    <row r="121">
      <c r="A121" s="1" t="s">
        <v>7</v>
      </c>
      <c r="B121" s="1" t="str">
        <f>IFERROR(__xludf.DUMMYFUNCTION("GOOGLETRANSLATE(A47, ""zh-CN"", ""en"")"),"Xinjiang Uygur Autonomous Region")</f>
        <v>Xinjiang Uygur Autonomous Region</v>
      </c>
      <c r="C121" s="1" t="s">
        <v>23</v>
      </c>
      <c r="D121" s="1" t="str">
        <f>IFERROR(__xludf.DUMMYFUNCTION("GOOGLETRANSLATE(C121, ""zh-CN"", ""en"")"),"Autonomous Region's directly under the jurisdiction of county -level administrative divisions")</f>
        <v>Autonomous Region's directly under the jurisdiction of county -level administrative divisions</v>
      </c>
      <c r="E121" s="1" t="s">
        <v>126</v>
      </c>
      <c r="F121" s="1" t="str">
        <f>IFERROR(__xludf.DUMMYFUNCTION("GOOGLETRANSLATE(E121, ""zh-CN"", ""en"")"),"Beitun City")</f>
        <v>Beitun City</v>
      </c>
      <c r="G121" s="1">
        <v>6.59005E11</v>
      </c>
    </row>
    <row r="122">
      <c r="A122" s="1" t="s">
        <v>7</v>
      </c>
      <c r="B122" s="1" t="str">
        <f>IFERROR(__xludf.DUMMYFUNCTION("GOOGLETRANSLATE(A48, ""zh-CN"", ""en"")"),"Xinjiang Uygur Autonomous Region")</f>
        <v>Xinjiang Uygur Autonomous Region</v>
      </c>
      <c r="C122" s="1" t="s">
        <v>23</v>
      </c>
      <c r="D122" s="1" t="str">
        <f>IFERROR(__xludf.DUMMYFUNCTION("GOOGLETRANSLATE(C122, ""zh-CN"", ""en"")"),"Autonomous Region's directly under the jurisdiction of county -level administrative divisions")</f>
        <v>Autonomous Region's directly under the jurisdiction of county -level administrative divisions</v>
      </c>
      <c r="E122" s="1" t="s">
        <v>127</v>
      </c>
      <c r="F122" s="1" t="str">
        <f>IFERROR(__xludf.DUMMYFUNCTION("GOOGLETRANSLATE(E122, ""zh-CN"", ""en"")"),"Tiemen")</f>
        <v>Tiemen</v>
      </c>
      <c r="G122" s="1">
        <v>6.59006E11</v>
      </c>
    </row>
    <row r="123">
      <c r="A123" s="1" t="s">
        <v>7</v>
      </c>
      <c r="B123" s="1" t="str">
        <f>IFERROR(__xludf.DUMMYFUNCTION("GOOGLETRANSLATE(A49, ""zh-CN"", ""en"")"),"Xinjiang Uygur Autonomous Region")</f>
        <v>Xinjiang Uygur Autonomous Region</v>
      </c>
      <c r="C123" s="1" t="s">
        <v>23</v>
      </c>
      <c r="D123" s="1" t="str">
        <f>IFERROR(__xludf.DUMMYFUNCTION("GOOGLETRANSLATE(C123, ""zh-CN"", ""en"")"),"Autonomous Region's directly under the jurisdiction of county -level administrative divisions")</f>
        <v>Autonomous Region's directly under the jurisdiction of county -level administrative divisions</v>
      </c>
      <c r="E123" s="1" t="s">
        <v>128</v>
      </c>
      <c r="F123" s="1" t="str">
        <f>IFERROR(__xludf.DUMMYFUNCTION("GOOGLETRANSLATE(E123, ""zh-CN"", ""en"")"),"Shuanghe City")</f>
        <v>Shuanghe City</v>
      </c>
      <c r="G123" s="1">
        <v>6.59007E11</v>
      </c>
    </row>
    <row r="124">
      <c r="A124" s="1" t="s">
        <v>7</v>
      </c>
      <c r="B124" s="1" t="str">
        <f>IFERROR(__xludf.DUMMYFUNCTION("GOOGLETRANSLATE(A50, ""zh-CN"", ""en"")"),"Xinjiang Uygur Autonomous Region")</f>
        <v>Xinjiang Uygur Autonomous Region</v>
      </c>
      <c r="C124" s="1" t="s">
        <v>23</v>
      </c>
      <c r="D124" s="1" t="str">
        <f>IFERROR(__xludf.DUMMYFUNCTION("GOOGLETRANSLATE(C124, ""zh-CN"", ""en"")"),"Autonomous Region's directly under the jurisdiction of county -level administrative divisions")</f>
        <v>Autonomous Region's directly under the jurisdiction of county -level administrative divisions</v>
      </c>
      <c r="E124" s="1" t="s">
        <v>129</v>
      </c>
      <c r="F124" s="1" t="str">
        <f>IFERROR(__xludf.DUMMYFUNCTION("GOOGLETRANSLATE(E124, ""zh-CN"", ""en"")"),"Cocyra City")</f>
        <v>Cocyra City</v>
      </c>
      <c r="G124" s="1">
        <v>6.59008E11</v>
      </c>
    </row>
    <row r="125">
      <c r="A125" s="1" t="s">
        <v>7</v>
      </c>
      <c r="B125" s="1" t="str">
        <f>IFERROR(__xludf.DUMMYFUNCTION("GOOGLETRANSLATE(A51, ""zh-CN"", ""en"")"),"Xinjiang Uygur Autonomous Region")</f>
        <v>Xinjiang Uygur Autonomous Region</v>
      </c>
      <c r="C125" s="1" t="s">
        <v>23</v>
      </c>
      <c r="D125" s="1" t="str">
        <f>IFERROR(__xludf.DUMMYFUNCTION("GOOGLETRANSLATE(C125, ""zh-CN"", ""en"")"),"Autonomous Region's directly under the jurisdiction of county -level administrative divisions")</f>
        <v>Autonomous Region's directly under the jurisdiction of county -level administrative divisions</v>
      </c>
      <c r="E125" s="1" t="s">
        <v>130</v>
      </c>
      <c r="F125" s="1" t="str">
        <f>IFERROR(__xludf.DUMMYFUNCTION("GOOGLETRANSLATE(E125, ""zh-CN"", ""en"")"),"Kunyu City")</f>
        <v>Kunyu City</v>
      </c>
      <c r="G125" s="1">
        <v>6.59009E11</v>
      </c>
    </row>
    <row r="126">
      <c r="A126" s="1" t="s">
        <v>7</v>
      </c>
      <c r="B126" s="1" t="str">
        <f>IFERROR(__xludf.DUMMYFUNCTION("GOOGLETRANSLATE(A52, ""zh-CN"", ""en"")"),"Xinjiang Uygur Autonomous Region")</f>
        <v>Xinjiang Uygur Autonomous Region</v>
      </c>
      <c r="C126" s="1" t="s">
        <v>23</v>
      </c>
      <c r="D126" s="1" t="str">
        <f>IFERROR(__xludf.DUMMYFUNCTION("GOOGLETRANSLATE(C126, ""zh-CN"", ""en"")"),"Autonomous Region's directly under the jurisdiction of county -level administrative divisions")</f>
        <v>Autonomous Region's directly under the jurisdiction of county -level administrative divisions</v>
      </c>
      <c r="E126" s="1" t="s">
        <v>131</v>
      </c>
      <c r="F126" s="1" t="str">
        <f>IFERROR(__xludf.DUMMYFUNCTION("GOOGLETRANSLATE(E126, ""zh-CN"", ""en"")"),"Huyanghe City")</f>
        <v>Huyanghe City</v>
      </c>
      <c r="G126" s="1">
        <v>6.5901E11</v>
      </c>
    </row>
    <row r="127">
      <c r="A127" s="1" t="s">
        <v>7</v>
      </c>
      <c r="B127" s="1" t="str">
        <f>IFERROR(__xludf.DUMMYFUNCTION("GOOGLETRANSLATE(A53, ""zh-CN"", ""en"")"),"Xinjiang Uygur Autonomous Region")</f>
        <v>Xinjiang Uygur Autonomous Region</v>
      </c>
      <c r="C127" s="1" t="s">
        <v>23</v>
      </c>
      <c r="D127" s="1" t="str">
        <f>IFERROR(__xludf.DUMMYFUNCTION("GOOGLETRANSLATE(C127, ""zh-CN"", ""en"")"),"Autonomous Region's directly under the jurisdiction of county -level administrative divisions")</f>
        <v>Autonomous Region's directly under the jurisdiction of county -level administrative divisions</v>
      </c>
      <c r="E127" s="1" t="s">
        <v>132</v>
      </c>
      <c r="F127" s="1" t="str">
        <f>IFERROR(__xludf.DUMMYFUNCTION("GOOGLETRANSLATE(E127, ""zh-CN"", ""en"")"),"Star market")</f>
        <v>Star market</v>
      </c>
      <c r="G127" s="1">
        <v>6.59011E11</v>
      </c>
    </row>
    <row r="128">
      <c r="A128" s="1" t="s">
        <v>133</v>
      </c>
      <c r="B128" s="1" t="str">
        <f>IFERROR(__xludf.DUMMYFUNCTION("GOOGLETRANSLATE(A54, ""zh-CN"", ""en"")"),"Xinjiang Uygur Autonomous Region")</f>
        <v>Xinjiang Uygur Autonomous Region</v>
      </c>
      <c r="C128" s="1" t="s">
        <v>8</v>
      </c>
      <c r="D128" s="1" t="str">
        <f>IFERROR(__xludf.DUMMYFUNCTION("GOOGLETRANSLATE(C128, ""zh-CN"", ""en"")"),"Na")</f>
        <v>Na</v>
      </c>
      <c r="E128" s="1" t="s">
        <v>8</v>
      </c>
      <c r="F128" s="1" t="str">
        <f>IFERROR(__xludf.DUMMYFUNCTION("GOOGLETRANSLATE(E128, ""zh-CN"", ""en"")"),"Na")</f>
        <v>Na</v>
      </c>
      <c r="G128" s="1">
        <v>14.0</v>
      </c>
    </row>
    <row r="129">
      <c r="A129" s="1" t="s">
        <v>133</v>
      </c>
      <c r="B129" s="1" t="str">
        <f>IFERROR(__xludf.DUMMYFUNCTION("GOOGLETRANSLATE(A55, ""zh-CN"", ""en"")"),"Xinjiang Uygur Autonomous Region")</f>
        <v>Xinjiang Uygur Autonomous Region</v>
      </c>
      <c r="C129" s="1" t="s">
        <v>134</v>
      </c>
      <c r="D129" s="1" t="str">
        <f>IFERROR(__xludf.DUMMYFUNCTION("GOOGLETRANSLATE(C129, ""zh-CN"", ""en"")"),"Taiyuan City")</f>
        <v>Taiyuan City</v>
      </c>
      <c r="E129" s="1" t="s">
        <v>8</v>
      </c>
      <c r="F129" s="1" t="str">
        <f>IFERROR(__xludf.DUMMYFUNCTION("GOOGLETRANSLATE(E129, ""zh-CN"", ""en"")"),"Na")</f>
        <v>Na</v>
      </c>
      <c r="G129" s="1">
        <v>1.401E11</v>
      </c>
    </row>
    <row r="130">
      <c r="A130" s="1" t="s">
        <v>133</v>
      </c>
      <c r="B130" s="1" t="str">
        <f>IFERROR(__xludf.DUMMYFUNCTION("GOOGLETRANSLATE(A56, ""zh-CN"", ""en"")"),"Xinjiang Uygur Autonomous Region")</f>
        <v>Xinjiang Uygur Autonomous Region</v>
      </c>
      <c r="C130" s="1" t="s">
        <v>135</v>
      </c>
      <c r="D130" s="1" t="str">
        <f>IFERROR(__xludf.DUMMYFUNCTION("GOOGLETRANSLATE(C130, ""zh-CN"", ""en"")"),"Datong City")</f>
        <v>Datong City</v>
      </c>
      <c r="E130" s="1" t="s">
        <v>8</v>
      </c>
      <c r="F130" s="1" t="str">
        <f>IFERROR(__xludf.DUMMYFUNCTION("GOOGLETRANSLATE(E130, ""zh-CN"", ""en"")"),"Na")</f>
        <v>Na</v>
      </c>
      <c r="G130" s="1">
        <v>1.402E11</v>
      </c>
    </row>
    <row r="131">
      <c r="A131" s="1" t="s">
        <v>133</v>
      </c>
      <c r="B131" s="1" t="str">
        <f>IFERROR(__xludf.DUMMYFUNCTION("GOOGLETRANSLATE(A57, ""zh-CN"", ""en"")"),"Xinjiang Uygur Autonomous Region")</f>
        <v>Xinjiang Uygur Autonomous Region</v>
      </c>
      <c r="C131" s="1" t="s">
        <v>136</v>
      </c>
      <c r="D131" s="1" t="str">
        <f>IFERROR(__xludf.DUMMYFUNCTION("GOOGLETRANSLATE(C131, ""zh-CN"", ""en"")"),"Yangquan City")</f>
        <v>Yangquan City</v>
      </c>
      <c r="E131" s="1" t="s">
        <v>8</v>
      </c>
      <c r="F131" s="1" t="str">
        <f>IFERROR(__xludf.DUMMYFUNCTION("GOOGLETRANSLATE(E131, ""zh-CN"", ""en"")"),"Na")</f>
        <v>Na</v>
      </c>
      <c r="G131" s="1">
        <v>1.403E11</v>
      </c>
    </row>
    <row r="132">
      <c r="A132" s="1" t="s">
        <v>133</v>
      </c>
      <c r="B132" s="1" t="str">
        <f>IFERROR(__xludf.DUMMYFUNCTION("GOOGLETRANSLATE(A58, ""zh-CN"", ""en"")"),"Xinjiang Uygur Autonomous Region")</f>
        <v>Xinjiang Uygur Autonomous Region</v>
      </c>
      <c r="C132" s="1" t="s">
        <v>137</v>
      </c>
      <c r="D132" s="1" t="str">
        <f>IFERROR(__xludf.DUMMYFUNCTION("GOOGLETRANSLATE(C132, ""zh-CN"", ""en"")"),"Changzhi City")</f>
        <v>Changzhi City</v>
      </c>
      <c r="E132" s="1" t="s">
        <v>8</v>
      </c>
      <c r="F132" s="1" t="str">
        <f>IFERROR(__xludf.DUMMYFUNCTION("GOOGLETRANSLATE(E132, ""zh-CN"", ""en"")"),"Na")</f>
        <v>Na</v>
      </c>
      <c r="G132" s="1">
        <v>1.404E11</v>
      </c>
    </row>
    <row r="133">
      <c r="A133" s="1" t="s">
        <v>133</v>
      </c>
      <c r="B133" s="1" t="str">
        <f>IFERROR(__xludf.DUMMYFUNCTION("GOOGLETRANSLATE(A59, ""zh-CN"", ""en"")"),"Xinjiang Uygur Autonomous Region")</f>
        <v>Xinjiang Uygur Autonomous Region</v>
      </c>
      <c r="C133" s="1" t="s">
        <v>138</v>
      </c>
      <c r="D133" s="1" t="str">
        <f>IFERROR(__xludf.DUMMYFUNCTION("GOOGLETRANSLATE(C133, ""zh-CN"", ""en"")"),"Jincheng")</f>
        <v>Jincheng</v>
      </c>
      <c r="E133" s="1" t="s">
        <v>8</v>
      </c>
      <c r="F133" s="1" t="str">
        <f>IFERROR(__xludf.DUMMYFUNCTION("GOOGLETRANSLATE(E133, ""zh-CN"", ""en"")"),"Na")</f>
        <v>Na</v>
      </c>
      <c r="G133" s="1">
        <v>1.405E11</v>
      </c>
    </row>
    <row r="134">
      <c r="A134" s="1" t="s">
        <v>133</v>
      </c>
      <c r="B134" s="1" t="str">
        <f>IFERROR(__xludf.DUMMYFUNCTION("GOOGLETRANSLATE(A60, ""zh-CN"", ""en"")"),"Xinjiang Uygur Autonomous Region")</f>
        <v>Xinjiang Uygur Autonomous Region</v>
      </c>
      <c r="C134" s="1" t="s">
        <v>139</v>
      </c>
      <c r="D134" s="1" t="str">
        <f>IFERROR(__xludf.DUMMYFUNCTION("GOOGLETRANSLATE(C134, ""zh-CN"", ""en"")"),"Shuozhou")</f>
        <v>Shuozhou</v>
      </c>
      <c r="E134" s="1" t="s">
        <v>8</v>
      </c>
      <c r="F134" s="1" t="str">
        <f>IFERROR(__xludf.DUMMYFUNCTION("GOOGLETRANSLATE(E134, ""zh-CN"", ""en"")"),"Na")</f>
        <v>Na</v>
      </c>
      <c r="G134" s="1">
        <v>1.406E11</v>
      </c>
    </row>
    <row r="135">
      <c r="A135" s="1" t="s">
        <v>133</v>
      </c>
      <c r="B135" s="1" t="str">
        <f>IFERROR(__xludf.DUMMYFUNCTION("GOOGLETRANSLATE(A61, ""zh-CN"", ""en"")"),"Xinjiang Uygur Autonomous Region")</f>
        <v>Xinjiang Uygur Autonomous Region</v>
      </c>
      <c r="C135" s="1" t="s">
        <v>140</v>
      </c>
      <c r="D135" s="1" t="str">
        <f>IFERROR(__xludf.DUMMYFUNCTION("GOOGLETRANSLATE(C135, ""zh-CN"", ""en"")"),"Jinzhong City")</f>
        <v>Jinzhong City</v>
      </c>
      <c r="E135" s="1" t="s">
        <v>8</v>
      </c>
      <c r="F135" s="1" t="str">
        <f>IFERROR(__xludf.DUMMYFUNCTION("GOOGLETRANSLATE(E135, ""zh-CN"", ""en"")"),"Na")</f>
        <v>Na</v>
      </c>
      <c r="G135" s="1">
        <v>1.407E11</v>
      </c>
    </row>
    <row r="136">
      <c r="A136" s="1" t="s">
        <v>133</v>
      </c>
      <c r="B136" s="1" t="str">
        <f>IFERROR(__xludf.DUMMYFUNCTION("GOOGLETRANSLATE(A62, ""zh-CN"", ""en"")"),"Xinjiang Uygur Autonomous Region")</f>
        <v>Xinjiang Uygur Autonomous Region</v>
      </c>
      <c r="C136" s="1" t="s">
        <v>141</v>
      </c>
      <c r="D136" s="1" t="str">
        <f>IFERROR(__xludf.DUMMYFUNCTION("GOOGLETRANSLATE(C136, ""zh-CN"", ""en"")"),"Transport city")</f>
        <v>Transport city</v>
      </c>
      <c r="E136" s="1" t="s">
        <v>8</v>
      </c>
      <c r="F136" s="1" t="str">
        <f>IFERROR(__xludf.DUMMYFUNCTION("GOOGLETRANSLATE(E136, ""zh-CN"", ""en"")"),"Na")</f>
        <v>Na</v>
      </c>
      <c r="G136" s="1">
        <v>1.408E11</v>
      </c>
    </row>
    <row r="137">
      <c r="A137" s="1" t="s">
        <v>133</v>
      </c>
      <c r="B137" s="1" t="str">
        <f>IFERROR(__xludf.DUMMYFUNCTION("GOOGLETRANSLATE(A63, ""zh-CN"", ""en"")"),"Xinjiang Uygur Autonomous Region")</f>
        <v>Xinjiang Uygur Autonomous Region</v>
      </c>
      <c r="C137" s="1" t="s">
        <v>142</v>
      </c>
      <c r="D137" s="1" t="str">
        <f>IFERROR(__xludf.DUMMYFUNCTION("GOOGLETRANSLATE(C137, ""zh-CN"", ""en"")"),"Xinzhou")</f>
        <v>Xinzhou</v>
      </c>
      <c r="E137" s="1" t="s">
        <v>8</v>
      </c>
      <c r="F137" s="1" t="str">
        <f>IFERROR(__xludf.DUMMYFUNCTION("GOOGLETRANSLATE(E137, ""zh-CN"", ""en"")"),"Na")</f>
        <v>Na</v>
      </c>
      <c r="G137" s="1">
        <v>1.409E11</v>
      </c>
    </row>
    <row r="138">
      <c r="A138" s="1" t="s">
        <v>133</v>
      </c>
      <c r="B138" s="1" t="str">
        <f>IFERROR(__xludf.DUMMYFUNCTION("GOOGLETRANSLATE(A64, ""zh-CN"", ""en"")"),"Xinjiang Uygur Autonomous Region")</f>
        <v>Xinjiang Uygur Autonomous Region</v>
      </c>
      <c r="C138" s="1" t="s">
        <v>143</v>
      </c>
      <c r="D138" s="1" t="str">
        <f>IFERROR(__xludf.DUMMYFUNCTION("GOOGLETRANSLATE(C138, ""zh-CN"", ""en"")"),"Linfen City")</f>
        <v>Linfen City</v>
      </c>
      <c r="E138" s="1" t="s">
        <v>8</v>
      </c>
      <c r="F138" s="1" t="str">
        <f>IFERROR(__xludf.DUMMYFUNCTION("GOOGLETRANSLATE(E138, ""zh-CN"", ""en"")"),"Na")</f>
        <v>Na</v>
      </c>
      <c r="G138" s="1">
        <v>1.41E11</v>
      </c>
    </row>
    <row r="139">
      <c r="A139" s="1" t="s">
        <v>133</v>
      </c>
      <c r="B139" s="1" t="str">
        <f>IFERROR(__xludf.DUMMYFUNCTION("GOOGLETRANSLATE(A65, ""zh-CN"", ""en"")"),"Xinjiang Uygur Autonomous Region")</f>
        <v>Xinjiang Uygur Autonomous Region</v>
      </c>
      <c r="C139" s="1" t="s">
        <v>144</v>
      </c>
      <c r="D139" s="1" t="str">
        <f>IFERROR(__xludf.DUMMYFUNCTION("GOOGLETRANSLATE(C139, ""zh-CN"", ""en"")"),"Luliang City")</f>
        <v>Luliang City</v>
      </c>
      <c r="E139" s="1" t="s">
        <v>8</v>
      </c>
      <c r="F139" s="1" t="str">
        <f>IFERROR(__xludf.DUMMYFUNCTION("GOOGLETRANSLATE(E139, ""zh-CN"", ""en"")"),"Na")</f>
        <v>Na</v>
      </c>
      <c r="G139" s="1">
        <v>1.411E11</v>
      </c>
    </row>
    <row r="140">
      <c r="A140" s="1" t="s">
        <v>133</v>
      </c>
      <c r="B140" s="1" t="str">
        <f>IFERROR(__xludf.DUMMYFUNCTION("GOOGLETRANSLATE(A66, ""zh-CN"", ""en"")"),"Xinjiang Uygur Autonomous Region")</f>
        <v>Xinjiang Uygur Autonomous Region</v>
      </c>
      <c r="C140" s="1" t="s">
        <v>134</v>
      </c>
      <c r="D140" s="1" t="str">
        <f>IFERROR(__xludf.DUMMYFUNCTION("GOOGLETRANSLATE(C140, ""zh-CN"", ""en"")"),"Taiyuan City")</f>
        <v>Taiyuan City</v>
      </c>
      <c r="E140" s="1" t="s">
        <v>24</v>
      </c>
      <c r="F140" s="1" t="str">
        <f>IFERROR(__xludf.DUMMYFUNCTION("GOOGLETRANSLATE(E140, ""zh-CN"", ""en"")"),"City area")</f>
        <v>City area</v>
      </c>
      <c r="G140" s="1">
        <v>1.40101E11</v>
      </c>
    </row>
    <row r="141">
      <c r="A141" s="1" t="s">
        <v>133</v>
      </c>
      <c r="B141" s="1" t="str">
        <f>IFERROR(__xludf.DUMMYFUNCTION("GOOGLETRANSLATE(A67, ""zh-CN"", ""en"")"),"Xinjiang Uygur Autonomous Region")</f>
        <v>Xinjiang Uygur Autonomous Region</v>
      </c>
      <c r="C141" s="1" t="s">
        <v>134</v>
      </c>
      <c r="D141" s="1" t="str">
        <f>IFERROR(__xludf.DUMMYFUNCTION("GOOGLETRANSLATE(C141, ""zh-CN"", ""en"")"),"Taiyuan City")</f>
        <v>Taiyuan City</v>
      </c>
      <c r="E141" s="1" t="s">
        <v>145</v>
      </c>
      <c r="F141" s="1" t="str">
        <f>IFERROR(__xludf.DUMMYFUNCTION("GOOGLETRANSLATE(E141, ""zh-CN"", ""en"")"),"Shop area")</f>
        <v>Shop area</v>
      </c>
      <c r="G141" s="1">
        <v>1.40105E11</v>
      </c>
    </row>
    <row r="142">
      <c r="A142" s="1" t="s">
        <v>133</v>
      </c>
      <c r="B142" s="1" t="str">
        <f>IFERROR(__xludf.DUMMYFUNCTION("GOOGLETRANSLATE(A68, ""zh-CN"", ""en"")"),"Xinjiang Uygur Autonomous Region")</f>
        <v>Xinjiang Uygur Autonomous Region</v>
      </c>
      <c r="C142" s="1" t="s">
        <v>134</v>
      </c>
      <c r="D142" s="1" t="str">
        <f>IFERROR(__xludf.DUMMYFUNCTION("GOOGLETRANSLATE(C142, ""zh-CN"", ""en"")"),"Taiyuan City")</f>
        <v>Taiyuan City</v>
      </c>
      <c r="E142" s="1" t="s">
        <v>146</v>
      </c>
      <c r="F142" s="1" t="str">
        <f>IFERROR(__xludf.DUMMYFUNCTION("GOOGLETRANSLATE(E142, ""zh-CN"", ""en"")"),"Yingze District")</f>
        <v>Yingze District</v>
      </c>
      <c r="G142" s="1">
        <v>1.40106E11</v>
      </c>
    </row>
    <row r="143">
      <c r="A143" s="1" t="s">
        <v>133</v>
      </c>
      <c r="B143" s="1" t="str">
        <f>IFERROR(__xludf.DUMMYFUNCTION("GOOGLETRANSLATE(A69, ""zh-CN"", ""en"")"),"Xinjiang Uygur Autonomous Region")</f>
        <v>Xinjiang Uygur Autonomous Region</v>
      </c>
      <c r="C143" s="1" t="s">
        <v>134</v>
      </c>
      <c r="D143" s="1" t="str">
        <f>IFERROR(__xludf.DUMMYFUNCTION("GOOGLETRANSLATE(C143, ""zh-CN"", ""en"")"),"Taiyuan City")</f>
        <v>Taiyuan City</v>
      </c>
      <c r="E143" s="1" t="s">
        <v>147</v>
      </c>
      <c r="F143" s="1" t="str">
        <f>IFERROR(__xludf.DUMMYFUNCTION("GOOGLETRANSLATE(E143, ""zh-CN"", ""en"")"),"Xinghua Ling District")</f>
        <v>Xinghua Ling District</v>
      </c>
      <c r="G143" s="1">
        <v>1.40107E11</v>
      </c>
    </row>
    <row r="144">
      <c r="A144" s="1" t="s">
        <v>133</v>
      </c>
      <c r="B144" s="1" t="str">
        <f>IFERROR(__xludf.DUMMYFUNCTION("GOOGLETRANSLATE(A70, ""zh-CN"", ""en"")"),"Xinjiang Uygur Autonomous Region")</f>
        <v>Xinjiang Uygur Autonomous Region</v>
      </c>
      <c r="C144" s="1" t="s">
        <v>134</v>
      </c>
      <c r="D144" s="1" t="str">
        <f>IFERROR(__xludf.DUMMYFUNCTION("GOOGLETRANSLATE(C144, ""zh-CN"", ""en"")"),"Taiyuan City")</f>
        <v>Taiyuan City</v>
      </c>
      <c r="E144" s="1" t="s">
        <v>148</v>
      </c>
      <c r="F144" s="1" t="str">
        <f>IFERROR(__xludf.DUMMYFUNCTION("GOOGLETRANSLATE(E144, ""zh-CN"", ""en"")"),"Diancaya District")</f>
        <v>Diancaya District</v>
      </c>
      <c r="G144" s="1">
        <v>1.40108E11</v>
      </c>
    </row>
    <row r="145">
      <c r="A145" s="1" t="s">
        <v>133</v>
      </c>
      <c r="B145" s="1" t="str">
        <f>IFERROR(__xludf.DUMMYFUNCTION("GOOGLETRANSLATE(A71, ""zh-CN"", ""en"")"),"Xinjiang Uygur Autonomous Region")</f>
        <v>Xinjiang Uygur Autonomous Region</v>
      </c>
      <c r="C145" s="1" t="s">
        <v>134</v>
      </c>
      <c r="D145" s="1" t="str">
        <f>IFERROR(__xludf.DUMMYFUNCTION("GOOGLETRANSLATE(C145, ""zh-CN"", ""en"")"),"Taiyuan City")</f>
        <v>Taiyuan City</v>
      </c>
      <c r="E145" s="1" t="s">
        <v>149</v>
      </c>
      <c r="F145" s="1" t="str">
        <f>IFERROR(__xludf.DUMMYFUNCTION("GOOGLETRANSLATE(E145, ""zh-CN"", ""en"")"),"Berlin District")</f>
        <v>Berlin District</v>
      </c>
      <c r="G145" s="1">
        <v>1.40109E11</v>
      </c>
    </row>
    <row r="146">
      <c r="A146" s="1" t="s">
        <v>133</v>
      </c>
      <c r="B146" s="1" t="str">
        <f>IFERROR(__xludf.DUMMYFUNCTION("GOOGLETRANSLATE(A72, ""zh-CN"", ""en"")"),"Xinjiang Uygur Autonomous Region")</f>
        <v>Xinjiang Uygur Autonomous Region</v>
      </c>
      <c r="C146" s="1" t="s">
        <v>134</v>
      </c>
      <c r="D146" s="1" t="str">
        <f>IFERROR(__xludf.DUMMYFUNCTION("GOOGLETRANSLATE(C146, ""zh-CN"", ""en"")"),"Taiyuan City")</f>
        <v>Taiyuan City</v>
      </c>
      <c r="E146" s="1" t="s">
        <v>150</v>
      </c>
      <c r="F146" s="1" t="str">
        <f>IFERROR(__xludf.DUMMYFUNCTION("GOOGLETRANSLATE(E146, ""zh-CN"", ""en"")"),"Jinyuan District")</f>
        <v>Jinyuan District</v>
      </c>
      <c r="G146" s="1">
        <v>1.4011E11</v>
      </c>
    </row>
    <row r="147">
      <c r="A147" s="1" t="s">
        <v>133</v>
      </c>
      <c r="B147" s="1" t="str">
        <f>IFERROR(__xludf.DUMMYFUNCTION("GOOGLETRANSLATE(A73, ""zh-CN"", ""en"")"),"Xinjiang Uygur Autonomous Region")</f>
        <v>Xinjiang Uygur Autonomous Region</v>
      </c>
      <c r="C147" s="1" t="s">
        <v>134</v>
      </c>
      <c r="D147" s="1" t="str">
        <f>IFERROR(__xludf.DUMMYFUNCTION("GOOGLETRANSLATE(C147, ""zh-CN"", ""en"")"),"Taiyuan City")</f>
        <v>Taiyuan City</v>
      </c>
      <c r="E147" s="1" t="s">
        <v>151</v>
      </c>
      <c r="F147" s="1" t="str">
        <f>IFERROR(__xludf.DUMMYFUNCTION("GOOGLETRANSLATE(E147, ""zh-CN"", ""en"")"),"Qingxu County")</f>
        <v>Qingxu County</v>
      </c>
      <c r="G147" s="1">
        <v>1.40121E11</v>
      </c>
    </row>
    <row r="148">
      <c r="A148" s="1" t="s">
        <v>133</v>
      </c>
      <c r="B148" s="1" t="str">
        <f>IFERROR(__xludf.DUMMYFUNCTION("GOOGLETRANSLATE(A74, ""zh-CN"", ""en"")"),"Xinjiang Uygur Autonomous Region")</f>
        <v>Xinjiang Uygur Autonomous Region</v>
      </c>
      <c r="C148" s="1" t="s">
        <v>134</v>
      </c>
      <c r="D148" s="1" t="str">
        <f>IFERROR(__xludf.DUMMYFUNCTION("GOOGLETRANSLATE(C148, ""zh-CN"", ""en"")"),"Taiyuan City")</f>
        <v>Taiyuan City</v>
      </c>
      <c r="E148" s="1" t="s">
        <v>152</v>
      </c>
      <c r="F148" s="1" t="str">
        <f>IFERROR(__xludf.DUMMYFUNCTION("GOOGLETRANSLATE(E148, ""zh-CN"", ""en"")"),"Yangqu County")</f>
        <v>Yangqu County</v>
      </c>
      <c r="G148" s="1">
        <v>1.40122E11</v>
      </c>
    </row>
    <row r="149">
      <c r="A149" s="1" t="s">
        <v>133</v>
      </c>
      <c r="B149" s="1" t="str">
        <f>IFERROR(__xludf.DUMMYFUNCTION("GOOGLETRANSLATE(A75, ""zh-CN"", ""en"")"),"Xinjiang Uygur Autonomous Region")</f>
        <v>Xinjiang Uygur Autonomous Region</v>
      </c>
      <c r="C149" s="1" t="s">
        <v>134</v>
      </c>
      <c r="D149" s="1" t="str">
        <f>IFERROR(__xludf.DUMMYFUNCTION("GOOGLETRANSLATE(C149, ""zh-CN"", ""en"")"),"Taiyuan City")</f>
        <v>Taiyuan City</v>
      </c>
      <c r="E149" s="1" t="s">
        <v>153</v>
      </c>
      <c r="F149" s="1" t="str">
        <f>IFERROR(__xludf.DUMMYFUNCTION("GOOGLETRANSLATE(E149, ""zh-CN"", ""en"")"),"Louzhi County")</f>
        <v>Louzhi County</v>
      </c>
      <c r="G149" s="1">
        <v>1.40123E11</v>
      </c>
    </row>
    <row r="150">
      <c r="A150" s="1" t="s">
        <v>133</v>
      </c>
      <c r="B150" s="1" t="str">
        <f>IFERROR(__xludf.DUMMYFUNCTION("GOOGLETRANSLATE(A76, ""zh-CN"", ""en"")"),"Xinjiang Uygur Autonomous Region")</f>
        <v>Xinjiang Uygur Autonomous Region</v>
      </c>
      <c r="C150" s="1" t="s">
        <v>134</v>
      </c>
      <c r="D150" s="1" t="str">
        <f>IFERROR(__xludf.DUMMYFUNCTION("GOOGLETRANSLATE(C150, ""zh-CN"", ""en"")"),"Taiyuan City")</f>
        <v>Taiyuan City</v>
      </c>
      <c r="E150" s="1" t="s">
        <v>154</v>
      </c>
      <c r="F150" s="1" t="str">
        <f>IFERROR(__xludf.DUMMYFUNCTION("GOOGLETRANSLATE(E150, ""zh-CN"", ""en"")"),"Shanxi Transformation Comprehensive Reform Demonstration Zone")</f>
        <v>Shanxi Transformation Comprehensive Reform Demonstration Zone</v>
      </c>
      <c r="G150" s="1">
        <v>1.40171E11</v>
      </c>
    </row>
    <row r="151">
      <c r="A151" s="1" t="s">
        <v>133</v>
      </c>
      <c r="B151" s="1" t="str">
        <f>IFERROR(__xludf.DUMMYFUNCTION("GOOGLETRANSLATE(A77, ""zh-CN"", ""en"")"),"Xinjiang Uygur Autonomous Region")</f>
        <v>Xinjiang Uygur Autonomous Region</v>
      </c>
      <c r="C151" s="1" t="s">
        <v>134</v>
      </c>
      <c r="D151" s="1" t="str">
        <f>IFERROR(__xludf.DUMMYFUNCTION("GOOGLETRANSLATE(C151, ""zh-CN"", ""en"")"),"Taiyuan City")</f>
        <v>Taiyuan City</v>
      </c>
      <c r="E151" s="1" t="s">
        <v>155</v>
      </c>
      <c r="F151" s="1" t="str">
        <f>IFERROR(__xludf.DUMMYFUNCTION("GOOGLETRANSLATE(E151, ""zh-CN"", ""en"")"),"Ancient market")</f>
        <v>Ancient market</v>
      </c>
      <c r="G151" s="1">
        <v>1.40181E11</v>
      </c>
    </row>
    <row r="152">
      <c r="A152" s="1" t="s">
        <v>133</v>
      </c>
      <c r="B152" s="1" t="str">
        <f>IFERROR(__xludf.DUMMYFUNCTION("GOOGLETRANSLATE(A78, ""zh-CN"", ""en"")"),"Xinjiang Uygur Autonomous Region")</f>
        <v>Xinjiang Uygur Autonomous Region</v>
      </c>
      <c r="C152" s="1" t="s">
        <v>135</v>
      </c>
      <c r="D152" s="1" t="str">
        <f>IFERROR(__xludf.DUMMYFUNCTION("GOOGLETRANSLATE(C152, ""zh-CN"", ""en"")"),"Datong City")</f>
        <v>Datong City</v>
      </c>
      <c r="E152" s="1" t="s">
        <v>24</v>
      </c>
      <c r="F152" s="1" t="str">
        <f>IFERROR(__xludf.DUMMYFUNCTION("GOOGLETRANSLATE(E152, ""zh-CN"", ""en"")"),"City area")</f>
        <v>City area</v>
      </c>
      <c r="G152" s="1">
        <v>1.40201E11</v>
      </c>
    </row>
    <row r="153">
      <c r="A153" s="1" t="s">
        <v>133</v>
      </c>
      <c r="B153" s="1" t="str">
        <f>IFERROR(__xludf.DUMMYFUNCTION("GOOGLETRANSLATE(A79, ""zh-CN"", ""en"")"),"Xinjiang Uygur Autonomous Region")</f>
        <v>Xinjiang Uygur Autonomous Region</v>
      </c>
      <c r="C153" s="1" t="s">
        <v>135</v>
      </c>
      <c r="D153" s="1" t="str">
        <f>IFERROR(__xludf.DUMMYFUNCTION("GOOGLETRANSLATE(C153, ""zh-CN"", ""en"")"),"Datong City")</f>
        <v>Datong City</v>
      </c>
      <c r="E153" s="1" t="s">
        <v>156</v>
      </c>
      <c r="F153" s="1" t="str">
        <f>IFERROR(__xludf.DUMMYFUNCTION("GOOGLETRANSLATE(E153, ""zh-CN"", ""en"")"),"Xinrong District")</f>
        <v>Xinrong District</v>
      </c>
      <c r="G153" s="1">
        <v>1.40212E11</v>
      </c>
    </row>
    <row r="154">
      <c r="A154" s="1" t="s">
        <v>133</v>
      </c>
      <c r="B154" s="1" t="str">
        <f>IFERROR(__xludf.DUMMYFUNCTION("GOOGLETRANSLATE(A80, ""zh-CN"", ""en"")"),"Xinjiang Uygur Autonomous Region")</f>
        <v>Xinjiang Uygur Autonomous Region</v>
      </c>
      <c r="C154" s="1" t="s">
        <v>135</v>
      </c>
      <c r="D154" s="1" t="str">
        <f>IFERROR(__xludf.DUMMYFUNCTION("GOOGLETRANSLATE(C154, ""zh-CN"", ""en"")"),"Datong City")</f>
        <v>Datong City</v>
      </c>
      <c r="E154" s="1" t="s">
        <v>157</v>
      </c>
      <c r="F154" s="1" t="str">
        <f>IFERROR(__xludf.DUMMYFUNCTION("GOOGLETRANSLATE(E154, ""zh-CN"", ""en"")"),"Pingcheng District")</f>
        <v>Pingcheng District</v>
      </c>
      <c r="G154" s="1">
        <v>1.40213E11</v>
      </c>
    </row>
    <row r="155">
      <c r="A155" s="1" t="s">
        <v>133</v>
      </c>
      <c r="B155" s="1" t="str">
        <f>IFERROR(__xludf.DUMMYFUNCTION("GOOGLETRANSLATE(A81, ""zh-CN"", ""en"")"),"Xinjiang Uygur Autonomous Region")</f>
        <v>Xinjiang Uygur Autonomous Region</v>
      </c>
      <c r="C155" s="1" t="s">
        <v>135</v>
      </c>
      <c r="D155" s="1" t="str">
        <f>IFERROR(__xludf.DUMMYFUNCTION("GOOGLETRANSLATE(C155, ""zh-CN"", ""en"")"),"Datong City")</f>
        <v>Datong City</v>
      </c>
      <c r="E155" s="1" t="s">
        <v>158</v>
      </c>
      <c r="F155" s="1" t="str">
        <f>IFERROR(__xludf.DUMMYFUNCTION("GOOGLETRANSLATE(E155, ""zh-CN"", ""en"")"),"Yungang District")</f>
        <v>Yungang District</v>
      </c>
      <c r="G155" s="1">
        <v>1.40214E11</v>
      </c>
    </row>
    <row r="156">
      <c r="A156" s="1" t="s">
        <v>133</v>
      </c>
      <c r="B156" s="1" t="str">
        <f>IFERROR(__xludf.DUMMYFUNCTION("GOOGLETRANSLATE(A82, ""zh-CN"", ""en"")"),"Xinjiang Uygur Autonomous Region")</f>
        <v>Xinjiang Uygur Autonomous Region</v>
      </c>
      <c r="C156" s="1" t="s">
        <v>135</v>
      </c>
      <c r="D156" s="1" t="str">
        <f>IFERROR(__xludf.DUMMYFUNCTION("GOOGLETRANSLATE(C156, ""zh-CN"", ""en"")"),"Datong City")</f>
        <v>Datong City</v>
      </c>
      <c r="E156" s="1" t="s">
        <v>159</v>
      </c>
      <c r="F156" s="1" t="str">
        <f>IFERROR(__xludf.DUMMYFUNCTION("GOOGLETRANSLATE(E156, ""zh-CN"", ""en"")"),"Yunzhou District")</f>
        <v>Yunzhou District</v>
      </c>
      <c r="G156" s="1">
        <v>1.40215E11</v>
      </c>
    </row>
    <row r="157">
      <c r="A157" s="1" t="s">
        <v>133</v>
      </c>
      <c r="B157" s="1" t="str">
        <f>IFERROR(__xludf.DUMMYFUNCTION("GOOGLETRANSLATE(A83, ""zh-CN"", ""en"")"),"Xinjiang Uygur Autonomous Region")</f>
        <v>Xinjiang Uygur Autonomous Region</v>
      </c>
      <c r="C157" s="1" t="s">
        <v>135</v>
      </c>
      <c r="D157" s="1" t="str">
        <f>IFERROR(__xludf.DUMMYFUNCTION("GOOGLETRANSLATE(C157, ""zh-CN"", ""en"")"),"Datong City")</f>
        <v>Datong City</v>
      </c>
      <c r="E157" s="1" t="s">
        <v>160</v>
      </c>
      <c r="F157" s="1" t="str">
        <f>IFERROR(__xludf.DUMMYFUNCTION("GOOGLETRANSLATE(E157, ""zh-CN"", ""en"")"),"Yanggao County")</f>
        <v>Yanggao County</v>
      </c>
      <c r="G157" s="1">
        <v>1.40221E11</v>
      </c>
    </row>
    <row r="158">
      <c r="A158" s="1" t="s">
        <v>133</v>
      </c>
      <c r="B158" s="1" t="str">
        <f>IFERROR(__xludf.DUMMYFUNCTION("GOOGLETRANSLATE(A84, ""zh-CN"", ""en"")"),"Xinjiang Uygur Autonomous Region")</f>
        <v>Xinjiang Uygur Autonomous Region</v>
      </c>
      <c r="C158" s="1" t="s">
        <v>135</v>
      </c>
      <c r="D158" s="1" t="str">
        <f>IFERROR(__xludf.DUMMYFUNCTION("GOOGLETRANSLATE(C158, ""zh-CN"", ""en"")"),"Datong City")</f>
        <v>Datong City</v>
      </c>
      <c r="E158" s="1" t="s">
        <v>161</v>
      </c>
      <c r="F158" s="1" t="str">
        <f>IFERROR(__xludf.DUMMYFUNCTION("GOOGLETRANSLATE(E158, ""zh-CN"", ""en"")"),"Tianzhen County")</f>
        <v>Tianzhen County</v>
      </c>
      <c r="G158" s="1">
        <v>1.40222E11</v>
      </c>
    </row>
    <row r="159">
      <c r="A159" s="1" t="s">
        <v>133</v>
      </c>
      <c r="B159" s="1" t="str">
        <f>IFERROR(__xludf.DUMMYFUNCTION("GOOGLETRANSLATE(A85, ""zh-CN"", ""en"")"),"Xinjiang Uygur Autonomous Region")</f>
        <v>Xinjiang Uygur Autonomous Region</v>
      </c>
      <c r="C159" s="1" t="s">
        <v>135</v>
      </c>
      <c r="D159" s="1" t="str">
        <f>IFERROR(__xludf.DUMMYFUNCTION("GOOGLETRANSLATE(C159, ""zh-CN"", ""en"")"),"Datong City")</f>
        <v>Datong City</v>
      </c>
      <c r="E159" s="1" t="s">
        <v>162</v>
      </c>
      <c r="F159" s="1" t="str">
        <f>IFERROR(__xludf.DUMMYFUNCTION("GOOGLETRANSLATE(E159, ""zh-CN"", ""en"")"),"Guangling County")</f>
        <v>Guangling County</v>
      </c>
      <c r="G159" s="1">
        <v>1.40223E11</v>
      </c>
    </row>
    <row r="160">
      <c r="A160" s="1" t="s">
        <v>133</v>
      </c>
      <c r="B160" s="1" t="str">
        <f>IFERROR(__xludf.DUMMYFUNCTION("GOOGLETRANSLATE(A86, ""zh-CN"", ""en"")"),"Xinjiang Uygur Autonomous Region")</f>
        <v>Xinjiang Uygur Autonomous Region</v>
      </c>
      <c r="C160" s="1" t="s">
        <v>135</v>
      </c>
      <c r="D160" s="1" t="str">
        <f>IFERROR(__xludf.DUMMYFUNCTION("GOOGLETRANSLATE(C160, ""zh-CN"", ""en"")"),"Datong City")</f>
        <v>Datong City</v>
      </c>
      <c r="E160" s="1" t="s">
        <v>163</v>
      </c>
      <c r="F160" s="1" t="str">
        <f>IFERROR(__xludf.DUMMYFUNCTION("GOOGLETRANSLATE(E160, ""zh-CN"", ""en"")"),"Lingqiu County")</f>
        <v>Lingqiu County</v>
      </c>
      <c r="G160" s="1">
        <v>1.40224E11</v>
      </c>
    </row>
    <row r="161">
      <c r="A161" s="1" t="s">
        <v>133</v>
      </c>
      <c r="B161" s="1" t="str">
        <f>IFERROR(__xludf.DUMMYFUNCTION("GOOGLETRANSLATE(A87, ""zh-CN"", ""en"")"),"Xinjiang Uygur Autonomous Region")</f>
        <v>Xinjiang Uygur Autonomous Region</v>
      </c>
      <c r="C161" s="1" t="s">
        <v>135</v>
      </c>
      <c r="D161" s="1" t="str">
        <f>IFERROR(__xludf.DUMMYFUNCTION("GOOGLETRANSLATE(C161, ""zh-CN"", ""en"")"),"Datong City")</f>
        <v>Datong City</v>
      </c>
      <c r="E161" s="1" t="s">
        <v>164</v>
      </c>
      <c r="F161" s="1" t="str">
        <f>IFERROR(__xludf.DUMMYFUNCTION("GOOGLETRANSLATE(E161, ""zh-CN"", ""en"")"),"Hunyuan County")</f>
        <v>Hunyuan County</v>
      </c>
      <c r="G161" s="1">
        <v>1.40225E11</v>
      </c>
    </row>
    <row r="162">
      <c r="A162" s="1" t="s">
        <v>133</v>
      </c>
      <c r="B162" s="1" t="str">
        <f>IFERROR(__xludf.DUMMYFUNCTION("GOOGLETRANSLATE(A88, ""zh-CN"", ""en"")"),"Xinjiang Uygur Autonomous Region")</f>
        <v>Xinjiang Uygur Autonomous Region</v>
      </c>
      <c r="C162" s="1" t="s">
        <v>135</v>
      </c>
      <c r="D162" s="1" t="str">
        <f>IFERROR(__xludf.DUMMYFUNCTION("GOOGLETRANSLATE(C162, ""zh-CN"", ""en"")"),"Datong City")</f>
        <v>Datong City</v>
      </c>
      <c r="E162" s="1" t="s">
        <v>165</v>
      </c>
      <c r="F162" s="1" t="str">
        <f>IFERROR(__xludf.DUMMYFUNCTION("GOOGLETRANSLATE(E162, ""zh-CN"", ""en"")"),"Zuo Yun County")</f>
        <v>Zuo Yun County</v>
      </c>
      <c r="G162" s="1">
        <v>1.40226E11</v>
      </c>
    </row>
    <row r="163">
      <c r="A163" s="1" t="s">
        <v>133</v>
      </c>
      <c r="B163" s="1" t="str">
        <f>IFERROR(__xludf.DUMMYFUNCTION("GOOGLETRANSLATE(A89, ""zh-CN"", ""en"")"),"Xinjiang Uygur Autonomous Region")</f>
        <v>Xinjiang Uygur Autonomous Region</v>
      </c>
      <c r="C163" s="1" t="s">
        <v>135</v>
      </c>
      <c r="D163" s="1" t="str">
        <f>IFERROR(__xludf.DUMMYFUNCTION("GOOGLETRANSLATE(C163, ""zh-CN"", ""en"")"),"Datong City")</f>
        <v>Datong City</v>
      </c>
      <c r="E163" s="1" t="s">
        <v>166</v>
      </c>
      <c r="F163" s="1" t="str">
        <f>IFERROR(__xludf.DUMMYFUNCTION("GOOGLETRANSLATE(E163, ""zh-CN"", ""en"")"),"Shanxi Datong Economic Development Zone")</f>
        <v>Shanxi Datong Economic Development Zone</v>
      </c>
      <c r="G163" s="1">
        <v>1.40271E11</v>
      </c>
    </row>
    <row r="164">
      <c r="A164" s="1" t="s">
        <v>133</v>
      </c>
      <c r="B164" s="1" t="str">
        <f>IFERROR(__xludf.DUMMYFUNCTION("GOOGLETRANSLATE(A90, ""zh-CN"", ""en"")"),"Xinjiang Uygur Autonomous Region")</f>
        <v>Xinjiang Uygur Autonomous Region</v>
      </c>
      <c r="C164" s="1" t="s">
        <v>136</v>
      </c>
      <c r="D164" s="1" t="str">
        <f>IFERROR(__xludf.DUMMYFUNCTION("GOOGLETRANSLATE(C164, ""zh-CN"", ""en"")"),"Yangquan City")</f>
        <v>Yangquan City</v>
      </c>
      <c r="E164" s="1" t="s">
        <v>24</v>
      </c>
      <c r="F164" s="1" t="str">
        <f>IFERROR(__xludf.DUMMYFUNCTION("GOOGLETRANSLATE(E164, ""zh-CN"", ""en"")"),"City area")</f>
        <v>City area</v>
      </c>
      <c r="G164" s="1">
        <v>1.40301E11</v>
      </c>
    </row>
    <row r="165">
      <c r="A165" s="1" t="s">
        <v>133</v>
      </c>
      <c r="B165" s="1" t="str">
        <f>IFERROR(__xludf.DUMMYFUNCTION("GOOGLETRANSLATE(A91, ""zh-CN"", ""en"")"),"Xinjiang Uygur Autonomous Region")</f>
        <v>Xinjiang Uygur Autonomous Region</v>
      </c>
      <c r="C165" s="1" t="s">
        <v>136</v>
      </c>
      <c r="D165" s="1" t="str">
        <f>IFERROR(__xludf.DUMMYFUNCTION("GOOGLETRANSLATE(C165, ""zh-CN"", ""en"")"),"Yangquan City")</f>
        <v>Yangquan City</v>
      </c>
      <c r="E165" s="1" t="s">
        <v>167</v>
      </c>
      <c r="F165" s="1" t="str">
        <f>IFERROR(__xludf.DUMMYFUNCTION("GOOGLETRANSLATE(E165, ""zh-CN"", ""en"")"),"Urban area")</f>
        <v>Urban area</v>
      </c>
      <c r="G165" s="1">
        <v>1.40302E11</v>
      </c>
    </row>
    <row r="166">
      <c r="A166" s="1" t="s">
        <v>133</v>
      </c>
      <c r="B166" s="1" t="str">
        <f>IFERROR(__xludf.DUMMYFUNCTION("GOOGLETRANSLATE(A92, ""zh-CN"", ""en"")"),"Xinjiang Uygur Autonomous Region")</f>
        <v>Xinjiang Uygur Autonomous Region</v>
      </c>
      <c r="C166" s="1" t="s">
        <v>136</v>
      </c>
      <c r="D166" s="1" t="str">
        <f>IFERROR(__xludf.DUMMYFUNCTION("GOOGLETRANSLATE(C166, ""zh-CN"", ""en"")"),"Yangquan City")</f>
        <v>Yangquan City</v>
      </c>
      <c r="E166" s="1" t="s">
        <v>168</v>
      </c>
      <c r="F166" s="1" t="str">
        <f>IFERROR(__xludf.DUMMYFUNCTION("GOOGLETRANSLATE(E166, ""zh-CN"", ""en"")"),"Mining area")</f>
        <v>Mining area</v>
      </c>
      <c r="G166" s="1">
        <v>1.40303E11</v>
      </c>
    </row>
    <row r="167">
      <c r="A167" s="1" t="s">
        <v>133</v>
      </c>
      <c r="B167" s="1" t="str">
        <f>IFERROR(__xludf.DUMMYFUNCTION("GOOGLETRANSLATE(A93, ""zh-CN"", ""en"")"),"Xinjiang Uygur Autonomous Region")</f>
        <v>Xinjiang Uygur Autonomous Region</v>
      </c>
      <c r="C167" s="1" t="s">
        <v>136</v>
      </c>
      <c r="D167" s="1" t="str">
        <f>IFERROR(__xludf.DUMMYFUNCTION("GOOGLETRANSLATE(C167, ""zh-CN"", ""en"")"),"Yangquan City")</f>
        <v>Yangquan City</v>
      </c>
      <c r="E167" s="1" t="s">
        <v>169</v>
      </c>
      <c r="F167" s="1" t="str">
        <f>IFERROR(__xludf.DUMMYFUNCTION("GOOGLETRANSLATE(E167, ""zh-CN"", ""en"")"),"suburbs")</f>
        <v>suburbs</v>
      </c>
      <c r="G167" s="1">
        <v>1.40311E11</v>
      </c>
    </row>
    <row r="168">
      <c r="A168" s="1" t="s">
        <v>133</v>
      </c>
      <c r="B168" s="1" t="str">
        <f>IFERROR(__xludf.DUMMYFUNCTION("GOOGLETRANSLATE(A94, ""zh-CN"", ""en"")"),"Xinjiang Uygur Autonomous Region")</f>
        <v>Xinjiang Uygur Autonomous Region</v>
      </c>
      <c r="C168" s="1" t="s">
        <v>136</v>
      </c>
      <c r="D168" s="1" t="str">
        <f>IFERROR(__xludf.DUMMYFUNCTION("GOOGLETRANSLATE(C168, ""zh-CN"", ""en"")"),"Yangquan City")</f>
        <v>Yangquan City</v>
      </c>
      <c r="E168" s="1" t="s">
        <v>170</v>
      </c>
      <c r="F168" s="1" t="str">
        <f>IFERROR(__xludf.DUMMYFUNCTION("GOOGLETRANSLATE(E168, ""zh-CN"", ""en"")"),"Pingding County")</f>
        <v>Pingding County</v>
      </c>
      <c r="G168" s="1">
        <v>1.40321E11</v>
      </c>
    </row>
    <row r="169">
      <c r="A169" s="1" t="s">
        <v>133</v>
      </c>
      <c r="B169" s="1" t="str">
        <f>IFERROR(__xludf.DUMMYFUNCTION("GOOGLETRANSLATE(A95, ""zh-CN"", ""en"")"),"Xinjiang Uygur Autonomous Region")</f>
        <v>Xinjiang Uygur Autonomous Region</v>
      </c>
      <c r="C169" s="1" t="s">
        <v>136</v>
      </c>
      <c r="D169" s="1" t="str">
        <f>IFERROR(__xludf.DUMMYFUNCTION("GOOGLETRANSLATE(C169, ""zh-CN"", ""en"")"),"Yangquan City")</f>
        <v>Yangquan City</v>
      </c>
      <c r="E169" s="1" t="s">
        <v>171</v>
      </c>
      <c r="F169" s="1" t="str">
        <f>IFERROR(__xludf.DUMMYFUNCTION("GOOGLETRANSLATE(E169, ""zh-CN"", ""en"")"),"Yaoxian")</f>
        <v>Yaoxian</v>
      </c>
      <c r="G169" s="1">
        <v>1.40322E11</v>
      </c>
    </row>
    <row r="170">
      <c r="A170" s="1" t="s">
        <v>133</v>
      </c>
      <c r="B170" s="1" t="str">
        <f>IFERROR(__xludf.DUMMYFUNCTION("GOOGLETRANSLATE(A96, ""zh-CN"", ""en"")"),"Xinjiang Uygur Autonomous Region")</f>
        <v>Xinjiang Uygur Autonomous Region</v>
      </c>
      <c r="C170" s="1" t="s">
        <v>137</v>
      </c>
      <c r="D170" s="1" t="str">
        <f>IFERROR(__xludf.DUMMYFUNCTION("GOOGLETRANSLATE(C170, ""zh-CN"", ""en"")"),"Changzhi City")</f>
        <v>Changzhi City</v>
      </c>
      <c r="E170" s="1" t="s">
        <v>24</v>
      </c>
      <c r="F170" s="1" t="str">
        <f>IFERROR(__xludf.DUMMYFUNCTION("GOOGLETRANSLATE(E170, ""zh-CN"", ""en"")"),"City area")</f>
        <v>City area</v>
      </c>
      <c r="G170" s="1">
        <v>1.40401E11</v>
      </c>
    </row>
    <row r="171">
      <c r="A171" s="1" t="s">
        <v>133</v>
      </c>
      <c r="B171" s="1" t="str">
        <f>IFERROR(__xludf.DUMMYFUNCTION("GOOGLETRANSLATE(A97, ""zh-CN"", ""en"")"),"Xinjiang Uygur Autonomous Region")</f>
        <v>Xinjiang Uygur Autonomous Region</v>
      </c>
      <c r="C171" s="1" t="s">
        <v>137</v>
      </c>
      <c r="D171" s="1" t="str">
        <f>IFERROR(__xludf.DUMMYFUNCTION("GOOGLETRANSLATE(C171, ""zh-CN"", ""en"")"),"Changzhi City")</f>
        <v>Changzhi City</v>
      </c>
      <c r="E171" s="1" t="s">
        <v>172</v>
      </c>
      <c r="F171" s="1" t="str">
        <f>IFERROR(__xludf.DUMMYFUNCTION("GOOGLETRANSLATE(E171, ""zh-CN"", ""en"")"),"Dazhou District")</f>
        <v>Dazhou District</v>
      </c>
      <c r="G171" s="1">
        <v>1.40403E11</v>
      </c>
    </row>
    <row r="172">
      <c r="A172" s="1" t="s">
        <v>133</v>
      </c>
      <c r="B172" s="1" t="str">
        <f>IFERROR(__xludf.DUMMYFUNCTION("GOOGLETRANSLATE(A98, ""zh-CN"", ""en"")"),"Xinjiang Uygur Autonomous Region")</f>
        <v>Xinjiang Uygur Autonomous Region</v>
      </c>
      <c r="C172" s="1" t="s">
        <v>137</v>
      </c>
      <c r="D172" s="1" t="str">
        <f>IFERROR(__xludf.DUMMYFUNCTION("GOOGLETRANSLATE(C172, ""zh-CN"", ""en"")"),"Changzhi City")</f>
        <v>Changzhi City</v>
      </c>
      <c r="E172" s="1" t="s">
        <v>173</v>
      </c>
      <c r="F172" s="1" t="str">
        <f>IFERROR(__xludf.DUMMYFUNCTION("GOOGLETRANSLATE(E172, ""zh-CN"", ""en"")"),"Shangdang Party")</f>
        <v>Shangdang Party</v>
      </c>
      <c r="G172" s="1">
        <v>1.40404E11</v>
      </c>
    </row>
    <row r="173">
      <c r="A173" s="1" t="s">
        <v>133</v>
      </c>
      <c r="B173" s="1" t="str">
        <f>IFERROR(__xludf.DUMMYFUNCTION("GOOGLETRANSLATE(A99, ""zh-CN"", ""en"")"),"Xinjiang Uygur Autonomous Region")</f>
        <v>Xinjiang Uygur Autonomous Region</v>
      </c>
      <c r="C173" s="1" t="s">
        <v>137</v>
      </c>
      <c r="D173" s="1" t="str">
        <f>IFERROR(__xludf.DUMMYFUNCTION("GOOGLETRANSLATE(C173, ""zh-CN"", ""en"")"),"Changzhi City")</f>
        <v>Changzhi City</v>
      </c>
      <c r="E173" s="1" t="s">
        <v>174</v>
      </c>
      <c r="F173" s="1" t="str">
        <f>IFERROR(__xludf.DUMMYFUNCTION("GOOGLETRANSLATE(E173, ""zh-CN"", ""en"")"),"Tunliu District")</f>
        <v>Tunliu District</v>
      </c>
      <c r="G173" s="1">
        <v>1.40405E11</v>
      </c>
    </row>
    <row r="174">
      <c r="A174" s="1" t="s">
        <v>133</v>
      </c>
      <c r="B174" s="1" t="str">
        <f>IFERROR(__xludf.DUMMYFUNCTION("GOOGLETRANSLATE(A100, ""zh-CN"", ""en"")"),"Xinjiang Uygur Autonomous Region")</f>
        <v>Xinjiang Uygur Autonomous Region</v>
      </c>
      <c r="C174" s="1" t="s">
        <v>137</v>
      </c>
      <c r="D174" s="1" t="str">
        <f>IFERROR(__xludf.DUMMYFUNCTION("GOOGLETRANSLATE(C174, ""zh-CN"", ""en"")"),"Changzhi City")</f>
        <v>Changzhi City</v>
      </c>
      <c r="E174" s="1" t="s">
        <v>175</v>
      </c>
      <c r="F174" s="1" t="str">
        <f>IFERROR(__xludf.DUMMYFUNCTION("GOOGLETRANSLATE(E174, ""zh-CN"", ""en"")"),"Laocheng District")</f>
        <v>Laocheng District</v>
      </c>
      <c r="G174" s="1">
        <v>1.40406E11</v>
      </c>
    </row>
    <row r="175">
      <c r="A175" s="1" t="s">
        <v>133</v>
      </c>
      <c r="B175" s="1" t="str">
        <f>IFERROR(__xludf.DUMMYFUNCTION("GOOGLETRANSLATE(A101, ""zh-CN"", ""en"")"),"Xinjiang Uygur Autonomous Region")</f>
        <v>Xinjiang Uygur Autonomous Region</v>
      </c>
      <c r="C175" s="1" t="s">
        <v>137</v>
      </c>
      <c r="D175" s="1" t="str">
        <f>IFERROR(__xludf.DUMMYFUNCTION("GOOGLETRANSLATE(C175, ""zh-CN"", ""en"")"),"Changzhi City")</f>
        <v>Changzhi City</v>
      </c>
      <c r="E175" s="1" t="s">
        <v>176</v>
      </c>
      <c r="F175" s="1" t="str">
        <f>IFERROR(__xludf.DUMMYFUNCTION("GOOGLETRANSLATE(E175, ""zh-CN"", ""en"")"),"Xiangyuan County")</f>
        <v>Xiangyuan County</v>
      </c>
      <c r="G175" s="1">
        <v>1.40423E11</v>
      </c>
    </row>
    <row r="176">
      <c r="A176" s="1" t="s">
        <v>133</v>
      </c>
      <c r="B176" s="1" t="str">
        <f>IFERROR(__xludf.DUMMYFUNCTION("GOOGLETRANSLATE(A102, ""zh-CN"", ""en"")"),"Xinjiang Uygur Autonomous Region")</f>
        <v>Xinjiang Uygur Autonomous Region</v>
      </c>
      <c r="C176" s="1" t="s">
        <v>137</v>
      </c>
      <c r="D176" s="1" t="str">
        <f>IFERROR(__xludf.DUMMYFUNCTION("GOOGLETRANSLATE(C176, ""zh-CN"", ""en"")"),"Changzhi City")</f>
        <v>Changzhi City</v>
      </c>
      <c r="E176" s="1" t="s">
        <v>177</v>
      </c>
      <c r="F176" s="1" t="str">
        <f>IFERROR(__xludf.DUMMYFUNCTION("GOOGLETRANSLATE(E176, ""zh-CN"", ""en"")"),"Pingshun County")</f>
        <v>Pingshun County</v>
      </c>
      <c r="G176" s="1">
        <v>1.40425E11</v>
      </c>
    </row>
    <row r="177">
      <c r="A177" s="1" t="s">
        <v>133</v>
      </c>
      <c r="B177" s="1" t="str">
        <f>IFERROR(__xludf.DUMMYFUNCTION("GOOGLETRANSLATE(A103, ""zh-CN"", ""en"")"),"Xinjiang Uygur Autonomous Region")</f>
        <v>Xinjiang Uygur Autonomous Region</v>
      </c>
      <c r="C177" s="1" t="s">
        <v>137</v>
      </c>
      <c r="D177" s="1" t="str">
        <f>IFERROR(__xludf.DUMMYFUNCTION("GOOGLETRANSLATE(C177, ""zh-CN"", ""en"")"),"Changzhi City")</f>
        <v>Changzhi City</v>
      </c>
      <c r="E177" s="1" t="s">
        <v>178</v>
      </c>
      <c r="F177" s="1" t="str">
        <f>IFERROR(__xludf.DUMMYFUNCTION("GOOGLETRANSLATE(E177, ""zh-CN"", ""en"")"),"Licheng County")</f>
        <v>Licheng County</v>
      </c>
      <c r="G177" s="1">
        <v>1.40426E11</v>
      </c>
    </row>
    <row r="178">
      <c r="A178" s="1" t="s">
        <v>133</v>
      </c>
      <c r="B178" s="1" t="str">
        <f>IFERROR(__xludf.DUMMYFUNCTION("GOOGLETRANSLATE(A104, ""zh-CN"", ""en"")"),"Xinjiang Uygur Autonomous Region")</f>
        <v>Xinjiang Uygur Autonomous Region</v>
      </c>
      <c r="C178" s="1" t="s">
        <v>137</v>
      </c>
      <c r="D178" s="1" t="str">
        <f>IFERROR(__xludf.DUMMYFUNCTION("GOOGLETRANSLATE(C178, ""zh-CN"", ""en"")"),"Changzhi City")</f>
        <v>Changzhi City</v>
      </c>
      <c r="E178" s="1" t="s">
        <v>179</v>
      </c>
      <c r="F178" s="1" t="str">
        <f>IFERROR(__xludf.DUMMYFUNCTION("GOOGLETRANSLATE(E178, ""zh-CN"", ""en"")"),"Huguan County")</f>
        <v>Huguan County</v>
      </c>
      <c r="G178" s="1">
        <v>1.40427E11</v>
      </c>
    </row>
    <row r="179">
      <c r="A179" s="1" t="s">
        <v>133</v>
      </c>
      <c r="B179" s="1" t="str">
        <f>IFERROR(__xludf.DUMMYFUNCTION("GOOGLETRANSLATE(A105, ""zh-CN"", ""en"")"),"Xinjiang Uygur Autonomous Region")</f>
        <v>Xinjiang Uygur Autonomous Region</v>
      </c>
      <c r="C179" s="1" t="s">
        <v>137</v>
      </c>
      <c r="D179" s="1" t="str">
        <f>IFERROR(__xludf.DUMMYFUNCTION("GOOGLETRANSLATE(C179, ""zh-CN"", ""en"")"),"Changzhi City")</f>
        <v>Changzhi City</v>
      </c>
      <c r="E179" s="1" t="s">
        <v>180</v>
      </c>
      <c r="F179" s="1" t="str">
        <f>IFERROR(__xludf.DUMMYFUNCTION("GOOGLETRANSLATE(E179, ""zh-CN"", ""en"")"),"Eldest son")</f>
        <v>Eldest son</v>
      </c>
      <c r="G179" s="1">
        <v>1.40428E11</v>
      </c>
    </row>
    <row r="180">
      <c r="A180" s="1" t="s">
        <v>133</v>
      </c>
      <c r="B180" s="1" t="str">
        <f>IFERROR(__xludf.DUMMYFUNCTION("GOOGLETRANSLATE(A106, ""zh-CN"", ""en"")"),"Xinjiang Uygur Autonomous Region")</f>
        <v>Xinjiang Uygur Autonomous Region</v>
      </c>
      <c r="C180" s="1" t="s">
        <v>137</v>
      </c>
      <c r="D180" s="1" t="str">
        <f>IFERROR(__xludf.DUMMYFUNCTION("GOOGLETRANSLATE(C180, ""zh-CN"", ""en"")"),"Changzhi City")</f>
        <v>Changzhi City</v>
      </c>
      <c r="E180" s="1" t="s">
        <v>181</v>
      </c>
      <c r="F180" s="1" t="str">
        <f>IFERROR(__xludf.DUMMYFUNCTION("GOOGLETRANSLATE(E180, ""zh-CN"", ""en"")"),"Wuxiang County")</f>
        <v>Wuxiang County</v>
      </c>
      <c r="G180" s="1">
        <v>1.40429E11</v>
      </c>
    </row>
    <row r="181">
      <c r="A181" s="1" t="s">
        <v>133</v>
      </c>
      <c r="B181" s="1" t="str">
        <f>IFERROR(__xludf.DUMMYFUNCTION("GOOGLETRANSLATE(A107, ""zh-CN"", ""en"")"),"Xinjiang Uygur Autonomous Region")</f>
        <v>Xinjiang Uygur Autonomous Region</v>
      </c>
      <c r="C181" s="1" t="s">
        <v>137</v>
      </c>
      <c r="D181" s="1" t="str">
        <f>IFERROR(__xludf.DUMMYFUNCTION("GOOGLETRANSLATE(C181, ""zh-CN"", ""en"")"),"Changzhi City")</f>
        <v>Changzhi City</v>
      </c>
      <c r="E181" s="1" t="s">
        <v>182</v>
      </c>
      <c r="F181" s="1" t="str">
        <f>IFERROR(__xludf.DUMMYFUNCTION("GOOGLETRANSLATE(E181, ""zh-CN"", ""en"")"),"Qin County")</f>
        <v>Qin County</v>
      </c>
      <c r="G181" s="1">
        <v>1.4043E11</v>
      </c>
    </row>
    <row r="182">
      <c r="A182" s="1" t="s">
        <v>133</v>
      </c>
      <c r="B182" s="1" t="str">
        <f>IFERROR(__xludf.DUMMYFUNCTION("GOOGLETRANSLATE(A108, ""zh-CN"", ""en"")"),"Xinjiang Uygur Autonomous Region")</f>
        <v>Xinjiang Uygur Autonomous Region</v>
      </c>
      <c r="C182" s="1" t="s">
        <v>137</v>
      </c>
      <c r="D182" s="1" t="str">
        <f>IFERROR(__xludf.DUMMYFUNCTION("GOOGLETRANSLATE(C182, ""zh-CN"", ""en"")"),"Changzhi City")</f>
        <v>Changzhi City</v>
      </c>
      <c r="E182" s="1" t="s">
        <v>183</v>
      </c>
      <c r="F182" s="1" t="str">
        <f>IFERROR(__xludf.DUMMYFUNCTION("GOOGLETRANSLATE(E182, ""zh-CN"", ""en"")"),"Qinyuan County")</f>
        <v>Qinyuan County</v>
      </c>
      <c r="G182" s="1">
        <v>1.40431E11</v>
      </c>
    </row>
    <row r="183">
      <c r="A183" s="1" t="s">
        <v>133</v>
      </c>
      <c r="B183" s="1" t="str">
        <f>IFERROR(__xludf.DUMMYFUNCTION("GOOGLETRANSLATE(A109, ""zh-CN"", ""en"")"),"Xinjiang Uygur Autonomous Region")</f>
        <v>Xinjiang Uygur Autonomous Region</v>
      </c>
      <c r="C183" s="1" t="s">
        <v>137</v>
      </c>
      <c r="D183" s="1" t="str">
        <f>IFERROR(__xludf.DUMMYFUNCTION("GOOGLETRANSLATE(C183, ""zh-CN"", ""en"")"),"Changzhi City")</f>
        <v>Changzhi City</v>
      </c>
      <c r="E183" s="1" t="s">
        <v>184</v>
      </c>
      <c r="F183" s="1" t="str">
        <f>IFERROR(__xludf.DUMMYFUNCTION("GOOGLETRANSLATE(E183, ""zh-CN"", ""en"")"),"Shanxi Changzhi High -tech Industrial Park")</f>
        <v>Shanxi Changzhi High -tech Industrial Park</v>
      </c>
      <c r="G183" s="1">
        <v>1.40471E11</v>
      </c>
    </row>
    <row r="184">
      <c r="A184" s="1" t="s">
        <v>133</v>
      </c>
      <c r="B184" s="1" t="str">
        <f>IFERROR(__xludf.DUMMYFUNCTION("GOOGLETRANSLATE(A110, ""zh-CN"", ""en"")"),"Xinjiang Uygur Autonomous Region")</f>
        <v>Xinjiang Uygur Autonomous Region</v>
      </c>
      <c r="C184" s="1" t="s">
        <v>138</v>
      </c>
      <c r="D184" s="1" t="str">
        <f>IFERROR(__xludf.DUMMYFUNCTION("GOOGLETRANSLATE(C184, ""zh-CN"", ""en"")"),"Jincheng")</f>
        <v>Jincheng</v>
      </c>
      <c r="E184" s="1" t="s">
        <v>24</v>
      </c>
      <c r="F184" s="1" t="str">
        <f>IFERROR(__xludf.DUMMYFUNCTION("GOOGLETRANSLATE(E184, ""zh-CN"", ""en"")"),"City area")</f>
        <v>City area</v>
      </c>
      <c r="G184" s="1">
        <v>1.40501E11</v>
      </c>
    </row>
    <row r="185">
      <c r="A185" s="1" t="s">
        <v>133</v>
      </c>
      <c r="B185" s="1" t="str">
        <f>IFERROR(__xludf.DUMMYFUNCTION("GOOGLETRANSLATE(A111, ""zh-CN"", ""en"")"),"Xinjiang Uygur Autonomous Region")</f>
        <v>Xinjiang Uygur Autonomous Region</v>
      </c>
      <c r="C185" s="1" t="s">
        <v>138</v>
      </c>
      <c r="D185" s="1" t="str">
        <f>IFERROR(__xludf.DUMMYFUNCTION("GOOGLETRANSLATE(C185, ""zh-CN"", ""en"")"),"Jincheng")</f>
        <v>Jincheng</v>
      </c>
      <c r="E185" s="1" t="s">
        <v>167</v>
      </c>
      <c r="F185" s="1" t="str">
        <f>IFERROR(__xludf.DUMMYFUNCTION("GOOGLETRANSLATE(E185, ""zh-CN"", ""en"")"),"Urban area")</f>
        <v>Urban area</v>
      </c>
      <c r="G185" s="1">
        <v>1.40502E11</v>
      </c>
    </row>
    <row r="186">
      <c r="A186" s="1" t="s">
        <v>133</v>
      </c>
      <c r="B186" s="1" t="str">
        <f>IFERROR(__xludf.DUMMYFUNCTION("GOOGLETRANSLATE(A112, ""zh-CN"", ""en"")"),"Xinjiang Uygur Autonomous Region")</f>
        <v>Xinjiang Uygur Autonomous Region</v>
      </c>
      <c r="C186" s="1" t="s">
        <v>138</v>
      </c>
      <c r="D186" s="1" t="str">
        <f>IFERROR(__xludf.DUMMYFUNCTION("GOOGLETRANSLATE(C186, ""zh-CN"", ""en"")"),"Jincheng")</f>
        <v>Jincheng</v>
      </c>
      <c r="E186" s="1" t="s">
        <v>185</v>
      </c>
      <c r="F186" s="1" t="str">
        <f>IFERROR(__xludf.DUMMYFUNCTION("GOOGLETRANSLATE(E186, ""zh-CN"", ""en"")"),"Qinshui County")</f>
        <v>Qinshui County</v>
      </c>
      <c r="G186" s="1">
        <v>1.40521E11</v>
      </c>
    </row>
    <row r="187">
      <c r="A187" s="1" t="s">
        <v>133</v>
      </c>
      <c r="B187" s="1" t="str">
        <f>IFERROR(__xludf.DUMMYFUNCTION("GOOGLETRANSLATE(A113, ""zh-CN"", ""en"")"),"Xinjiang Uygur Autonomous Region")</f>
        <v>Xinjiang Uygur Autonomous Region</v>
      </c>
      <c r="C187" s="1" t="s">
        <v>138</v>
      </c>
      <c r="D187" s="1" t="str">
        <f>IFERROR(__xludf.DUMMYFUNCTION("GOOGLETRANSLATE(C187, ""zh-CN"", ""en"")"),"Jincheng")</f>
        <v>Jincheng</v>
      </c>
      <c r="E187" s="1" t="s">
        <v>186</v>
      </c>
      <c r="F187" s="1" t="str">
        <f>IFERROR(__xludf.DUMMYFUNCTION("GOOGLETRANSLATE(E187, ""zh-CN"", ""en"")"),"Yangcheng County")</f>
        <v>Yangcheng County</v>
      </c>
      <c r="G187" s="1">
        <v>1.40522E11</v>
      </c>
    </row>
    <row r="188">
      <c r="A188" s="1" t="s">
        <v>133</v>
      </c>
      <c r="B188" s="1" t="str">
        <f>IFERROR(__xludf.DUMMYFUNCTION("GOOGLETRANSLATE(A114, ""zh-CN"", ""en"")"),"Xinjiang Uygur Autonomous Region")</f>
        <v>Xinjiang Uygur Autonomous Region</v>
      </c>
      <c r="C188" s="1" t="s">
        <v>138</v>
      </c>
      <c r="D188" s="1" t="str">
        <f>IFERROR(__xludf.DUMMYFUNCTION("GOOGLETRANSLATE(C188, ""zh-CN"", ""en"")"),"Jincheng")</f>
        <v>Jincheng</v>
      </c>
      <c r="E188" s="1" t="s">
        <v>187</v>
      </c>
      <c r="F188" s="1" t="str">
        <f>IFERROR(__xludf.DUMMYFUNCTION("GOOGLETRANSLATE(E188, ""zh-CN"", ""en"")"),"Lingchuan County")</f>
        <v>Lingchuan County</v>
      </c>
      <c r="G188" s="1">
        <v>1.40524E11</v>
      </c>
    </row>
    <row r="189">
      <c r="A189" s="1" t="s">
        <v>133</v>
      </c>
      <c r="B189" s="1" t="str">
        <f>IFERROR(__xludf.DUMMYFUNCTION("GOOGLETRANSLATE(A115, ""zh-CN"", ""en"")"),"Xinjiang Uygur Autonomous Region")</f>
        <v>Xinjiang Uygur Autonomous Region</v>
      </c>
      <c r="C189" s="1" t="s">
        <v>138</v>
      </c>
      <c r="D189" s="1" t="str">
        <f>IFERROR(__xludf.DUMMYFUNCTION("GOOGLETRANSLATE(C189, ""zh-CN"", ""en"")"),"Jincheng")</f>
        <v>Jincheng</v>
      </c>
      <c r="E189" s="1" t="s">
        <v>188</v>
      </c>
      <c r="F189" s="1" t="str">
        <f>IFERROR(__xludf.DUMMYFUNCTION("GOOGLETRANSLATE(E189, ""zh-CN"", ""en"")"),"Zezhou County")</f>
        <v>Zezhou County</v>
      </c>
      <c r="G189" s="1">
        <v>1.40525E11</v>
      </c>
    </row>
    <row r="190">
      <c r="A190" s="1" t="s">
        <v>133</v>
      </c>
      <c r="B190" s="1" t="str">
        <f>IFERROR(__xludf.DUMMYFUNCTION("GOOGLETRANSLATE(A116, ""zh-CN"", ""en"")"),"Xinjiang Uygur Autonomous Region")</f>
        <v>Xinjiang Uygur Autonomous Region</v>
      </c>
      <c r="C190" s="1" t="s">
        <v>138</v>
      </c>
      <c r="D190" s="1" t="str">
        <f>IFERROR(__xludf.DUMMYFUNCTION("GOOGLETRANSLATE(C190, ""zh-CN"", ""en"")"),"Jincheng")</f>
        <v>Jincheng</v>
      </c>
      <c r="E190" s="1" t="s">
        <v>189</v>
      </c>
      <c r="F190" s="1" t="str">
        <f>IFERROR(__xludf.DUMMYFUNCTION("GOOGLETRANSLATE(E190, ""zh-CN"", ""en"")"),"Gaoping City")</f>
        <v>Gaoping City</v>
      </c>
      <c r="G190" s="1">
        <v>1.40581E11</v>
      </c>
    </row>
    <row r="191">
      <c r="A191" s="1" t="s">
        <v>133</v>
      </c>
      <c r="B191" s="1" t="str">
        <f>IFERROR(__xludf.DUMMYFUNCTION("GOOGLETRANSLATE(A117, ""zh-CN"", ""en"")"),"Xinjiang Uygur Autonomous Region")</f>
        <v>Xinjiang Uygur Autonomous Region</v>
      </c>
      <c r="C191" s="1" t="s">
        <v>139</v>
      </c>
      <c r="D191" s="1" t="str">
        <f>IFERROR(__xludf.DUMMYFUNCTION("GOOGLETRANSLATE(C191, ""zh-CN"", ""en"")"),"Shuozhou")</f>
        <v>Shuozhou</v>
      </c>
      <c r="E191" s="1" t="s">
        <v>24</v>
      </c>
      <c r="F191" s="1" t="str">
        <f>IFERROR(__xludf.DUMMYFUNCTION("GOOGLETRANSLATE(E191, ""zh-CN"", ""en"")"),"City area")</f>
        <v>City area</v>
      </c>
      <c r="G191" s="1">
        <v>1.40601E11</v>
      </c>
    </row>
    <row r="192">
      <c r="A192" s="1" t="s">
        <v>133</v>
      </c>
      <c r="B192" s="1" t="str">
        <f>IFERROR(__xludf.DUMMYFUNCTION("GOOGLETRANSLATE(A118, ""zh-CN"", ""en"")"),"Xinjiang Uygur Autonomous Region")</f>
        <v>Xinjiang Uygur Autonomous Region</v>
      </c>
      <c r="C192" s="1" t="s">
        <v>139</v>
      </c>
      <c r="D192" s="1" t="str">
        <f>IFERROR(__xludf.DUMMYFUNCTION("GOOGLETRANSLATE(C192, ""zh-CN"", ""en"")"),"Shuozhou")</f>
        <v>Shuozhou</v>
      </c>
      <c r="E192" s="1" t="s">
        <v>190</v>
      </c>
      <c r="F192" s="1" t="str">
        <f>IFERROR(__xludf.DUMMYFUNCTION("GOOGLETRANSLATE(E192, ""zh-CN"", ""en"")"),"Shuocheng District")</f>
        <v>Shuocheng District</v>
      </c>
      <c r="G192" s="1">
        <v>1.40602E11</v>
      </c>
    </row>
    <row r="193">
      <c r="A193" s="1" t="s">
        <v>133</v>
      </c>
      <c r="B193" s="1" t="str">
        <f>IFERROR(__xludf.DUMMYFUNCTION("GOOGLETRANSLATE(A119, ""zh-CN"", ""en"")"),"Xinjiang Uygur Autonomous Region")</f>
        <v>Xinjiang Uygur Autonomous Region</v>
      </c>
      <c r="C193" s="1" t="s">
        <v>139</v>
      </c>
      <c r="D193" s="1" t="str">
        <f>IFERROR(__xludf.DUMMYFUNCTION("GOOGLETRANSLATE(C193, ""zh-CN"", ""en"")"),"Shuozhou")</f>
        <v>Shuozhou</v>
      </c>
      <c r="E193" s="1" t="s">
        <v>191</v>
      </c>
      <c r="F193" s="1" t="str">
        <f>IFERROR(__xludf.DUMMYFUNCTION("GOOGLETRANSLATE(E193, ""zh-CN"", ""en"")"),"Pinglu District")</f>
        <v>Pinglu District</v>
      </c>
      <c r="G193" s="1">
        <v>1.40603E11</v>
      </c>
    </row>
    <row r="194">
      <c r="A194" s="1" t="s">
        <v>133</v>
      </c>
      <c r="B194" s="1" t="str">
        <f>IFERROR(__xludf.DUMMYFUNCTION("GOOGLETRANSLATE(A120, ""zh-CN"", ""en"")"),"Xinjiang Uygur Autonomous Region")</f>
        <v>Xinjiang Uygur Autonomous Region</v>
      </c>
      <c r="C194" s="1" t="s">
        <v>139</v>
      </c>
      <c r="D194" s="1" t="str">
        <f>IFERROR(__xludf.DUMMYFUNCTION("GOOGLETRANSLATE(C194, ""zh-CN"", ""en"")"),"Shuozhou")</f>
        <v>Shuozhou</v>
      </c>
      <c r="E194" s="1" t="s">
        <v>192</v>
      </c>
      <c r="F194" s="1" t="str">
        <f>IFERROR(__xludf.DUMMYFUNCTION("GOOGLETRANSLATE(E194, ""zh-CN"", ""en"")"),"Shanyin County")</f>
        <v>Shanyin County</v>
      </c>
      <c r="G194" s="1">
        <v>1.40621E11</v>
      </c>
    </row>
    <row r="195">
      <c r="A195" s="1" t="s">
        <v>133</v>
      </c>
      <c r="B195" s="1" t="str">
        <f>IFERROR(__xludf.DUMMYFUNCTION("GOOGLETRANSLATE(A121, ""zh-CN"", ""en"")"),"Xinjiang Uygur Autonomous Region")</f>
        <v>Xinjiang Uygur Autonomous Region</v>
      </c>
      <c r="C195" s="1" t="s">
        <v>139</v>
      </c>
      <c r="D195" s="1" t="str">
        <f>IFERROR(__xludf.DUMMYFUNCTION("GOOGLETRANSLATE(C195, ""zh-CN"", ""en"")"),"Shuozhou")</f>
        <v>Shuozhou</v>
      </c>
      <c r="E195" s="1" t="s">
        <v>193</v>
      </c>
      <c r="F195" s="1" t="str">
        <f>IFERROR(__xludf.DUMMYFUNCTION("GOOGLETRANSLATE(E195, ""zh-CN"", ""en"")"),"Ying County")</f>
        <v>Ying County</v>
      </c>
      <c r="G195" s="1">
        <v>1.40622E11</v>
      </c>
    </row>
    <row r="196">
      <c r="A196" s="1" t="s">
        <v>133</v>
      </c>
      <c r="B196" s="1" t="str">
        <f>IFERROR(__xludf.DUMMYFUNCTION("GOOGLETRANSLATE(A122, ""zh-CN"", ""en"")"),"Xinjiang Uygur Autonomous Region")</f>
        <v>Xinjiang Uygur Autonomous Region</v>
      </c>
      <c r="C196" s="1" t="s">
        <v>139</v>
      </c>
      <c r="D196" s="1" t="str">
        <f>IFERROR(__xludf.DUMMYFUNCTION("GOOGLETRANSLATE(C196, ""zh-CN"", ""en"")"),"Shuozhou")</f>
        <v>Shuozhou</v>
      </c>
      <c r="E196" s="1" t="s">
        <v>194</v>
      </c>
      <c r="F196" s="1" t="str">
        <f>IFERROR(__xludf.DUMMYFUNCTION("GOOGLETRANSLATE(E196, ""zh-CN"", ""en"")"),"Youyu County")</f>
        <v>Youyu County</v>
      </c>
      <c r="G196" s="1">
        <v>1.40623E11</v>
      </c>
    </row>
    <row r="197">
      <c r="A197" s="1" t="s">
        <v>133</v>
      </c>
      <c r="B197" s="1" t="str">
        <f>IFERROR(__xludf.DUMMYFUNCTION("GOOGLETRANSLATE(A123, ""zh-CN"", ""en"")"),"Xinjiang Uygur Autonomous Region")</f>
        <v>Xinjiang Uygur Autonomous Region</v>
      </c>
      <c r="C197" s="1" t="s">
        <v>139</v>
      </c>
      <c r="D197" s="1" t="str">
        <f>IFERROR(__xludf.DUMMYFUNCTION("GOOGLETRANSLATE(C197, ""zh-CN"", ""en"")"),"Shuozhou")</f>
        <v>Shuozhou</v>
      </c>
      <c r="E197" s="1" t="s">
        <v>195</v>
      </c>
      <c r="F197" s="1" t="str">
        <f>IFERROR(__xludf.DUMMYFUNCTION("GOOGLETRANSLATE(E197, ""zh-CN"", ""en"")"),"Shanxi Shuozhou Economic Development Zone")</f>
        <v>Shanxi Shuozhou Economic Development Zone</v>
      </c>
      <c r="G197" s="1">
        <v>1.40671E11</v>
      </c>
    </row>
    <row r="198">
      <c r="A198" s="1" t="s">
        <v>133</v>
      </c>
      <c r="B198" s="1" t="str">
        <f>IFERROR(__xludf.DUMMYFUNCTION("GOOGLETRANSLATE(A124, ""zh-CN"", ""en"")"),"Xinjiang Uygur Autonomous Region")</f>
        <v>Xinjiang Uygur Autonomous Region</v>
      </c>
      <c r="C198" s="1" t="s">
        <v>139</v>
      </c>
      <c r="D198" s="1" t="str">
        <f>IFERROR(__xludf.DUMMYFUNCTION("GOOGLETRANSLATE(C198, ""zh-CN"", ""en"")"),"Shuozhou")</f>
        <v>Shuozhou</v>
      </c>
      <c r="E198" s="1" t="s">
        <v>196</v>
      </c>
      <c r="F198" s="1" t="str">
        <f>IFERROR(__xludf.DUMMYFUNCTION("GOOGLETRANSLATE(E198, ""zh-CN"", ""en"")"),"Huairen City")</f>
        <v>Huairen City</v>
      </c>
      <c r="G198" s="1">
        <v>1.40681E11</v>
      </c>
    </row>
    <row r="199">
      <c r="A199" s="1" t="s">
        <v>133</v>
      </c>
      <c r="B199" s="1" t="str">
        <f>IFERROR(__xludf.DUMMYFUNCTION("GOOGLETRANSLATE(A125, ""zh-CN"", ""en"")"),"Xinjiang Uygur Autonomous Region")</f>
        <v>Xinjiang Uygur Autonomous Region</v>
      </c>
      <c r="C199" s="1" t="s">
        <v>140</v>
      </c>
      <c r="D199" s="1" t="str">
        <f>IFERROR(__xludf.DUMMYFUNCTION("GOOGLETRANSLATE(C199, ""zh-CN"", ""en"")"),"Jinzhong City")</f>
        <v>Jinzhong City</v>
      </c>
      <c r="E199" s="1" t="s">
        <v>24</v>
      </c>
      <c r="F199" s="1" t="str">
        <f>IFERROR(__xludf.DUMMYFUNCTION("GOOGLETRANSLATE(E199, ""zh-CN"", ""en"")"),"City area")</f>
        <v>City area</v>
      </c>
      <c r="G199" s="1">
        <v>1.40701E11</v>
      </c>
    </row>
    <row r="200">
      <c r="A200" s="1" t="s">
        <v>133</v>
      </c>
      <c r="B200" s="1" t="str">
        <f>IFERROR(__xludf.DUMMYFUNCTION("GOOGLETRANSLATE(A126, ""zh-CN"", ""en"")"),"Xinjiang Uygur Autonomous Region")</f>
        <v>Xinjiang Uygur Autonomous Region</v>
      </c>
      <c r="C200" s="1" t="s">
        <v>140</v>
      </c>
      <c r="D200" s="1" t="str">
        <f>IFERROR(__xludf.DUMMYFUNCTION("GOOGLETRANSLATE(C200, ""zh-CN"", ""en"")"),"Jinzhong City")</f>
        <v>Jinzhong City</v>
      </c>
      <c r="E200" s="1" t="s">
        <v>197</v>
      </c>
      <c r="F200" s="1" t="str">
        <f>IFERROR(__xludf.DUMMYFUNCTION("GOOGLETRANSLATE(E200, ""zh-CN"", ""en"")"),"Yuci District")</f>
        <v>Yuci District</v>
      </c>
      <c r="G200" s="1">
        <v>1.40702E11</v>
      </c>
    </row>
    <row r="201">
      <c r="A201" s="1" t="s">
        <v>133</v>
      </c>
      <c r="B201" s="1" t="str">
        <f>IFERROR(__xludf.DUMMYFUNCTION("GOOGLETRANSLATE(A127, ""zh-CN"", ""en"")"),"Xinjiang Uygur Autonomous Region")</f>
        <v>Xinjiang Uygur Autonomous Region</v>
      </c>
      <c r="C201" s="1" t="s">
        <v>140</v>
      </c>
      <c r="D201" s="1" t="str">
        <f>IFERROR(__xludf.DUMMYFUNCTION("GOOGLETRANSLATE(C201, ""zh-CN"", ""en"")"),"Jinzhong City")</f>
        <v>Jinzhong City</v>
      </c>
      <c r="E201" s="1" t="s">
        <v>198</v>
      </c>
      <c r="F201" s="1" t="str">
        <f>IFERROR(__xludf.DUMMYFUNCTION("GOOGLETRANSLATE(E201, ""zh-CN"", ""en"")"),"Taro District")</f>
        <v>Taro District</v>
      </c>
      <c r="G201" s="1">
        <v>1.40703E11</v>
      </c>
    </row>
    <row r="202">
      <c r="A202" s="1" t="s">
        <v>133</v>
      </c>
      <c r="B202" s="1" t="str">
        <f>IFERROR(__xludf.DUMMYFUNCTION("GOOGLETRANSLATE(A128, ""zh-CN"", ""en"")"),"Shanxi Province")</f>
        <v>Shanxi Province</v>
      </c>
      <c r="C202" s="1" t="s">
        <v>140</v>
      </c>
      <c r="D202" s="1" t="str">
        <f>IFERROR(__xludf.DUMMYFUNCTION("GOOGLETRANSLATE(C202, ""zh-CN"", ""en"")"),"Jinzhong City")</f>
        <v>Jinzhong City</v>
      </c>
      <c r="E202" s="1" t="s">
        <v>199</v>
      </c>
      <c r="F202" s="1" t="str">
        <f>IFERROR(__xludf.DUMMYFUNCTION("GOOGLETRANSLATE(E202, ""zh-CN"", ""en"")"),"Yushe County")</f>
        <v>Yushe County</v>
      </c>
      <c r="G202" s="1">
        <v>1.40721E11</v>
      </c>
    </row>
    <row r="203">
      <c r="A203" s="1" t="s">
        <v>133</v>
      </c>
      <c r="B203" s="1" t="str">
        <f>IFERROR(__xludf.DUMMYFUNCTION("GOOGLETRANSLATE(A129, ""zh-CN"", ""en"")"),"Shanxi Province")</f>
        <v>Shanxi Province</v>
      </c>
      <c r="C203" s="1" t="s">
        <v>140</v>
      </c>
      <c r="D203" s="1" t="str">
        <f>IFERROR(__xludf.DUMMYFUNCTION("GOOGLETRANSLATE(C203, ""zh-CN"", ""en"")"),"Jinzhong City")</f>
        <v>Jinzhong City</v>
      </c>
      <c r="E203" s="1" t="s">
        <v>200</v>
      </c>
      <c r="F203" s="1" t="str">
        <f>IFERROR(__xludf.DUMMYFUNCTION("GOOGLETRANSLATE(E203, ""zh-CN"", ""en"")"),"Zuoquan County")</f>
        <v>Zuoquan County</v>
      </c>
      <c r="G203" s="1">
        <v>1.40722E11</v>
      </c>
    </row>
    <row r="204">
      <c r="A204" s="1" t="s">
        <v>133</v>
      </c>
      <c r="B204" s="1" t="str">
        <f>IFERROR(__xludf.DUMMYFUNCTION("GOOGLETRANSLATE(A130, ""zh-CN"", ""en"")"),"Shanxi Province")</f>
        <v>Shanxi Province</v>
      </c>
      <c r="C204" s="1" t="s">
        <v>140</v>
      </c>
      <c r="D204" s="1" t="str">
        <f>IFERROR(__xludf.DUMMYFUNCTION("GOOGLETRANSLATE(C204, ""zh-CN"", ""en"")"),"Jinzhong City")</f>
        <v>Jinzhong City</v>
      </c>
      <c r="E204" s="1" t="s">
        <v>201</v>
      </c>
      <c r="F204" s="1" t="str">
        <f>IFERROR(__xludf.DUMMYFUNCTION("GOOGLETRANSLATE(E204, ""zh-CN"", ""en"")"),"Heshun County")</f>
        <v>Heshun County</v>
      </c>
      <c r="G204" s="1">
        <v>1.40723E11</v>
      </c>
    </row>
    <row r="205">
      <c r="A205" s="1" t="s">
        <v>133</v>
      </c>
      <c r="B205" s="1" t="str">
        <f>IFERROR(__xludf.DUMMYFUNCTION("GOOGLETRANSLATE(A131, ""zh-CN"", ""en"")"),"Shanxi Province")</f>
        <v>Shanxi Province</v>
      </c>
      <c r="C205" s="1" t="s">
        <v>140</v>
      </c>
      <c r="D205" s="1" t="str">
        <f>IFERROR(__xludf.DUMMYFUNCTION("GOOGLETRANSLATE(C205, ""zh-CN"", ""en"")"),"Jinzhong City")</f>
        <v>Jinzhong City</v>
      </c>
      <c r="E205" s="1" t="s">
        <v>202</v>
      </c>
      <c r="F205" s="1" t="str">
        <f>IFERROR(__xludf.DUMMYFUNCTION("GOOGLETRANSLATE(E205, ""zh-CN"", ""en"")"),"Xiyang County")</f>
        <v>Xiyang County</v>
      </c>
      <c r="G205" s="1">
        <v>1.40724E11</v>
      </c>
    </row>
    <row r="206">
      <c r="A206" s="1" t="s">
        <v>133</v>
      </c>
      <c r="B206" s="1" t="str">
        <f>IFERROR(__xludf.DUMMYFUNCTION("GOOGLETRANSLATE(A132, ""zh-CN"", ""en"")"),"Shanxi Province")</f>
        <v>Shanxi Province</v>
      </c>
      <c r="C206" s="1" t="s">
        <v>140</v>
      </c>
      <c r="D206" s="1" t="str">
        <f>IFERROR(__xludf.DUMMYFUNCTION("GOOGLETRANSLATE(C206, ""zh-CN"", ""en"")"),"Jinzhong City")</f>
        <v>Jinzhong City</v>
      </c>
      <c r="E206" s="1" t="s">
        <v>203</v>
      </c>
      <c r="F206" s="1" t="str">
        <f>IFERROR(__xludf.DUMMYFUNCTION("GOOGLETRANSLATE(E206, ""zh-CN"", ""en"")"),"Shouyang County")</f>
        <v>Shouyang County</v>
      </c>
      <c r="G206" s="1">
        <v>1.40725E11</v>
      </c>
    </row>
    <row r="207">
      <c r="A207" s="1" t="s">
        <v>133</v>
      </c>
      <c r="B207" s="1" t="str">
        <f>IFERROR(__xludf.DUMMYFUNCTION("GOOGLETRANSLATE(A133, ""zh-CN"", ""en"")"),"Shanxi Province")</f>
        <v>Shanxi Province</v>
      </c>
      <c r="C207" s="1" t="s">
        <v>140</v>
      </c>
      <c r="D207" s="1" t="str">
        <f>IFERROR(__xludf.DUMMYFUNCTION("GOOGLETRANSLATE(C207, ""zh-CN"", ""en"")"),"Jinzhong City")</f>
        <v>Jinzhong City</v>
      </c>
      <c r="E207" s="1" t="s">
        <v>204</v>
      </c>
      <c r="F207" s="1" t="str">
        <f>IFERROR(__xludf.DUMMYFUNCTION("GOOGLETRANSLATE(E207, ""zh-CN"", ""en"")"),"Qixian")</f>
        <v>Qixian</v>
      </c>
      <c r="G207" s="1">
        <v>1.40727E11</v>
      </c>
    </row>
    <row r="208">
      <c r="A208" s="1" t="s">
        <v>133</v>
      </c>
      <c r="B208" s="1" t="str">
        <f>IFERROR(__xludf.DUMMYFUNCTION("GOOGLETRANSLATE(A134, ""zh-CN"", ""en"")"),"Shanxi Province")</f>
        <v>Shanxi Province</v>
      </c>
      <c r="C208" s="1" t="s">
        <v>140</v>
      </c>
      <c r="D208" s="1" t="str">
        <f>IFERROR(__xludf.DUMMYFUNCTION("GOOGLETRANSLATE(C208, ""zh-CN"", ""en"")"),"Jinzhong City")</f>
        <v>Jinzhong City</v>
      </c>
      <c r="E208" s="1" t="s">
        <v>205</v>
      </c>
      <c r="F208" s="1" t="str">
        <f>IFERROR(__xludf.DUMMYFUNCTION("GOOGLETRANSLATE(E208, ""zh-CN"", ""en"")"),"Pingyao County")</f>
        <v>Pingyao County</v>
      </c>
      <c r="G208" s="1">
        <v>1.40728E11</v>
      </c>
    </row>
    <row r="209">
      <c r="A209" s="1" t="s">
        <v>133</v>
      </c>
      <c r="B209" s="1" t="str">
        <f>IFERROR(__xludf.DUMMYFUNCTION("GOOGLETRANSLATE(A135, ""zh-CN"", ""en"")"),"Shanxi Province")</f>
        <v>Shanxi Province</v>
      </c>
      <c r="C209" s="1" t="s">
        <v>140</v>
      </c>
      <c r="D209" s="1" t="str">
        <f>IFERROR(__xludf.DUMMYFUNCTION("GOOGLETRANSLATE(C209, ""zh-CN"", ""en"")"),"Jinzhong City")</f>
        <v>Jinzhong City</v>
      </c>
      <c r="E209" s="1" t="s">
        <v>206</v>
      </c>
      <c r="F209" s="1" t="str">
        <f>IFERROR(__xludf.DUMMYFUNCTION("GOOGLETRANSLATE(E209, ""zh-CN"", ""en"")"),"Lingshi County")</f>
        <v>Lingshi County</v>
      </c>
      <c r="G209" s="1">
        <v>1.40729E11</v>
      </c>
    </row>
    <row r="210">
      <c r="A210" s="1" t="s">
        <v>133</v>
      </c>
      <c r="B210" s="1" t="str">
        <f>IFERROR(__xludf.DUMMYFUNCTION("GOOGLETRANSLATE(A136, ""zh-CN"", ""en"")"),"Shanxi Province")</f>
        <v>Shanxi Province</v>
      </c>
      <c r="C210" s="1" t="s">
        <v>140</v>
      </c>
      <c r="D210" s="1" t="str">
        <f>IFERROR(__xludf.DUMMYFUNCTION("GOOGLETRANSLATE(C210, ""zh-CN"", ""en"")"),"Jinzhong City")</f>
        <v>Jinzhong City</v>
      </c>
      <c r="E210" s="1" t="s">
        <v>207</v>
      </c>
      <c r="F210" s="1" t="str">
        <f>IFERROR(__xludf.DUMMYFUNCTION("GOOGLETRANSLATE(E210, ""zh-CN"", ""en"")"),"Market")</f>
        <v>Market</v>
      </c>
      <c r="G210" s="1">
        <v>1.40781E11</v>
      </c>
    </row>
    <row r="211">
      <c r="A211" s="1" t="s">
        <v>133</v>
      </c>
      <c r="B211" s="1" t="str">
        <f>IFERROR(__xludf.DUMMYFUNCTION("GOOGLETRANSLATE(A137, ""zh-CN"", ""en"")"),"Shanxi Province")</f>
        <v>Shanxi Province</v>
      </c>
      <c r="C211" s="1" t="s">
        <v>141</v>
      </c>
      <c r="D211" s="1" t="str">
        <f>IFERROR(__xludf.DUMMYFUNCTION("GOOGLETRANSLATE(C211, ""zh-CN"", ""en"")"),"Transport city")</f>
        <v>Transport city</v>
      </c>
      <c r="E211" s="1" t="s">
        <v>24</v>
      </c>
      <c r="F211" s="1" t="str">
        <f>IFERROR(__xludf.DUMMYFUNCTION("GOOGLETRANSLATE(E211, ""zh-CN"", ""en"")"),"City area")</f>
        <v>City area</v>
      </c>
      <c r="G211" s="1">
        <v>1.40801E11</v>
      </c>
    </row>
    <row r="212">
      <c r="A212" s="1" t="s">
        <v>133</v>
      </c>
      <c r="B212" s="1" t="str">
        <f>IFERROR(__xludf.DUMMYFUNCTION("GOOGLETRANSLATE(A138, ""zh-CN"", ""en"")"),"Shanxi Province")</f>
        <v>Shanxi Province</v>
      </c>
      <c r="C212" s="1" t="s">
        <v>141</v>
      </c>
      <c r="D212" s="1" t="str">
        <f>IFERROR(__xludf.DUMMYFUNCTION("GOOGLETRANSLATE(C212, ""zh-CN"", ""en"")"),"Transport city")</f>
        <v>Transport city</v>
      </c>
      <c r="E212" s="1" t="s">
        <v>208</v>
      </c>
      <c r="F212" s="1" t="str">
        <f>IFERROR(__xludf.DUMMYFUNCTION("GOOGLETRANSLATE(E212, ""zh-CN"", ""en"")"),"Salt lake area")</f>
        <v>Salt lake area</v>
      </c>
      <c r="G212" s="1">
        <v>1.40802E11</v>
      </c>
    </row>
    <row r="213">
      <c r="A213" s="1" t="s">
        <v>133</v>
      </c>
      <c r="B213" s="1" t="str">
        <f>IFERROR(__xludf.DUMMYFUNCTION("GOOGLETRANSLATE(A139, ""zh-CN"", ""en"")"),"Shanxi Province")</f>
        <v>Shanxi Province</v>
      </c>
      <c r="C213" s="1" t="s">
        <v>141</v>
      </c>
      <c r="D213" s="1" t="str">
        <f>IFERROR(__xludf.DUMMYFUNCTION("GOOGLETRANSLATE(C213, ""zh-CN"", ""en"")"),"Transport city")</f>
        <v>Transport city</v>
      </c>
      <c r="E213" s="1" t="s">
        <v>209</v>
      </c>
      <c r="F213" s="1" t="str">
        <f>IFERROR(__xludf.DUMMYFUNCTION("GOOGLETRANSLATE(E213, ""zh-CN"", ""en"")"),"Linyi County")</f>
        <v>Linyi County</v>
      </c>
      <c r="G213" s="1">
        <v>1.40821E11</v>
      </c>
    </row>
    <row r="214">
      <c r="A214" s="1" t="s">
        <v>133</v>
      </c>
      <c r="B214" s="1" t="str">
        <f>IFERROR(__xludf.DUMMYFUNCTION("GOOGLETRANSLATE(A140, ""zh-CN"", ""en"")"),"Shanxi Province")</f>
        <v>Shanxi Province</v>
      </c>
      <c r="C214" s="1" t="s">
        <v>141</v>
      </c>
      <c r="D214" s="1" t="str">
        <f>IFERROR(__xludf.DUMMYFUNCTION("GOOGLETRANSLATE(C214, ""zh-CN"", ""en"")"),"Transport city")</f>
        <v>Transport city</v>
      </c>
      <c r="E214" s="1" t="s">
        <v>210</v>
      </c>
      <c r="F214" s="1" t="str">
        <f>IFERROR(__xludf.DUMMYFUNCTION("GOOGLETRANSLATE(E214, ""zh-CN"", ""en"")"),"Wanrong County")</f>
        <v>Wanrong County</v>
      </c>
      <c r="G214" s="1">
        <v>1.40822E11</v>
      </c>
    </row>
    <row r="215">
      <c r="A215" s="1" t="s">
        <v>133</v>
      </c>
      <c r="B215" s="1" t="str">
        <f>IFERROR(__xludf.DUMMYFUNCTION("GOOGLETRANSLATE(A141, ""zh-CN"", ""en"")"),"Shanxi Province")</f>
        <v>Shanxi Province</v>
      </c>
      <c r="C215" s="1" t="s">
        <v>141</v>
      </c>
      <c r="D215" s="1" t="str">
        <f>IFERROR(__xludf.DUMMYFUNCTION("GOOGLETRANSLATE(C215, ""zh-CN"", ""en"")"),"Transport city")</f>
        <v>Transport city</v>
      </c>
      <c r="E215" s="1" t="s">
        <v>211</v>
      </c>
      <c r="F215" s="1" t="str">
        <f>IFERROR(__xludf.DUMMYFUNCTION("GOOGLETRANSLATE(E215, ""zh-CN"", ""en"")"),"Wenxi County")</f>
        <v>Wenxi County</v>
      </c>
      <c r="G215" s="1">
        <v>1.40823E11</v>
      </c>
    </row>
    <row r="216">
      <c r="A216" s="1" t="s">
        <v>133</v>
      </c>
      <c r="B216" s="1" t="str">
        <f>IFERROR(__xludf.DUMMYFUNCTION("GOOGLETRANSLATE(A142, ""zh-CN"", ""en"")"),"Shanxi Province")</f>
        <v>Shanxi Province</v>
      </c>
      <c r="C216" s="1" t="s">
        <v>141</v>
      </c>
      <c r="D216" s="1" t="str">
        <f>IFERROR(__xludf.DUMMYFUNCTION("GOOGLETRANSLATE(C216, ""zh-CN"", ""en"")"),"Transport city")</f>
        <v>Transport city</v>
      </c>
      <c r="E216" s="1" t="s">
        <v>212</v>
      </c>
      <c r="F216" s="1" t="str">
        <f>IFERROR(__xludf.DUMMYFUNCTION("GOOGLETRANSLATE(E216, ""zh-CN"", ""en"")"),"Takayama Prefecture")</f>
        <v>Takayama Prefecture</v>
      </c>
      <c r="G216" s="1">
        <v>1.40824E11</v>
      </c>
    </row>
    <row r="217">
      <c r="A217" s="1" t="s">
        <v>133</v>
      </c>
      <c r="B217" s="1" t="str">
        <f>IFERROR(__xludf.DUMMYFUNCTION("GOOGLETRANSLATE(A143, ""zh-CN"", ""en"")"),"Shanxi Province")</f>
        <v>Shanxi Province</v>
      </c>
      <c r="C217" s="1" t="s">
        <v>141</v>
      </c>
      <c r="D217" s="1" t="str">
        <f>IFERROR(__xludf.DUMMYFUNCTION("GOOGLETRANSLATE(C217, ""zh-CN"", ""en"")"),"Transport city")</f>
        <v>Transport city</v>
      </c>
      <c r="E217" s="1" t="s">
        <v>213</v>
      </c>
      <c r="F217" s="1" t="str">
        <f>IFERROR(__xludf.DUMMYFUNCTION("GOOGLETRANSLATE(E217, ""zh-CN"", ""en"")"),"Xinyi County")</f>
        <v>Xinyi County</v>
      </c>
      <c r="G217" s="1">
        <v>1.40825E11</v>
      </c>
    </row>
    <row r="218">
      <c r="A218" s="1" t="s">
        <v>133</v>
      </c>
      <c r="B218" s="1" t="str">
        <f>IFERROR(__xludf.DUMMYFUNCTION("GOOGLETRANSLATE(A144, ""zh-CN"", ""en"")"),"Shanxi Province")</f>
        <v>Shanxi Province</v>
      </c>
      <c r="C218" s="1" t="s">
        <v>141</v>
      </c>
      <c r="D218" s="1" t="str">
        <f>IFERROR(__xludf.DUMMYFUNCTION("GOOGLETRANSLATE(C218, ""zh-CN"", ""en"")"),"Transport city")</f>
        <v>Transport city</v>
      </c>
      <c r="E218" s="1" t="s">
        <v>214</v>
      </c>
      <c r="F218" s="1" t="str">
        <f>IFERROR(__xludf.DUMMYFUNCTION("GOOGLETRANSLATE(E218, ""zh-CN"", ""en"")"),"Dangxian County")</f>
        <v>Dangxian County</v>
      </c>
      <c r="G218" s="1">
        <v>1.40826E11</v>
      </c>
    </row>
    <row r="219">
      <c r="A219" s="1" t="s">
        <v>133</v>
      </c>
      <c r="B219" s="1" t="str">
        <f>IFERROR(__xludf.DUMMYFUNCTION("GOOGLETRANSLATE(A145, ""zh-CN"", ""en"")"),"Shanxi Province")</f>
        <v>Shanxi Province</v>
      </c>
      <c r="C219" s="1" t="s">
        <v>141</v>
      </c>
      <c r="D219" s="1" t="str">
        <f>IFERROR(__xludf.DUMMYFUNCTION("GOOGLETRANSLATE(C219, ""zh-CN"", ""en"")"),"Transport city")</f>
        <v>Transport city</v>
      </c>
      <c r="E219" s="1" t="s">
        <v>215</v>
      </c>
      <c r="F219" s="1" t="str">
        <f>IFERROR(__xludf.DUMMYFUNCTION("GOOGLETRANSLATE(E219, ""zh-CN"", ""en"")"),"Yuanqu County")</f>
        <v>Yuanqu County</v>
      </c>
      <c r="G219" s="1">
        <v>1.40827E11</v>
      </c>
    </row>
    <row r="220">
      <c r="A220" s="1" t="s">
        <v>133</v>
      </c>
      <c r="B220" s="1" t="str">
        <f>IFERROR(__xludf.DUMMYFUNCTION("GOOGLETRANSLATE(A146, ""zh-CN"", ""en"")"),"Shanxi Province")</f>
        <v>Shanxi Province</v>
      </c>
      <c r="C220" s="1" t="s">
        <v>141</v>
      </c>
      <c r="D220" s="1" t="str">
        <f>IFERROR(__xludf.DUMMYFUNCTION("GOOGLETRANSLATE(C220, ""zh-CN"", ""en"")"),"Transport city")</f>
        <v>Transport city</v>
      </c>
      <c r="E220" s="1" t="s">
        <v>216</v>
      </c>
      <c r="F220" s="1" t="str">
        <f>IFERROR(__xludf.DUMMYFUNCTION("GOOGLETRANSLATE(E220, ""zh-CN"", ""en"")"),"Xia County")</f>
        <v>Xia County</v>
      </c>
      <c r="G220" s="1">
        <v>1.40828E11</v>
      </c>
    </row>
    <row r="221">
      <c r="A221" s="1" t="s">
        <v>133</v>
      </c>
      <c r="B221" s="1" t="str">
        <f>IFERROR(__xludf.DUMMYFUNCTION("GOOGLETRANSLATE(A147, ""zh-CN"", ""en"")"),"Shanxi Province")</f>
        <v>Shanxi Province</v>
      </c>
      <c r="C221" s="1" t="s">
        <v>141</v>
      </c>
      <c r="D221" s="1" t="str">
        <f>IFERROR(__xludf.DUMMYFUNCTION("GOOGLETRANSLATE(C221, ""zh-CN"", ""en"")"),"Transport city")</f>
        <v>Transport city</v>
      </c>
      <c r="E221" s="1" t="s">
        <v>217</v>
      </c>
      <c r="F221" s="1" t="str">
        <f>IFERROR(__xludf.DUMMYFUNCTION("GOOGLETRANSLATE(E221, ""zh-CN"", ""en"")"),"Pinglu County")</f>
        <v>Pinglu County</v>
      </c>
      <c r="G221" s="1">
        <v>1.40829E11</v>
      </c>
    </row>
    <row r="222">
      <c r="A222" s="1" t="s">
        <v>133</v>
      </c>
      <c r="B222" s="1" t="str">
        <f>IFERROR(__xludf.DUMMYFUNCTION("GOOGLETRANSLATE(A148, ""zh-CN"", ""en"")"),"Shanxi Province")</f>
        <v>Shanxi Province</v>
      </c>
      <c r="C222" s="1" t="s">
        <v>141</v>
      </c>
      <c r="D222" s="1" t="str">
        <f>IFERROR(__xludf.DUMMYFUNCTION("GOOGLETRANSLATE(C222, ""zh-CN"", ""en"")"),"Transport city")</f>
        <v>Transport city</v>
      </c>
      <c r="E222" s="1" t="s">
        <v>218</v>
      </c>
      <c r="F222" s="1" t="str">
        <f>IFERROR(__xludf.DUMMYFUNCTION("GOOGLETRANSLATE(E222, ""zh-CN"", ""en"")"),"Ruicheng County")</f>
        <v>Ruicheng County</v>
      </c>
      <c r="G222" s="1">
        <v>1.4083E11</v>
      </c>
    </row>
    <row r="223">
      <c r="A223" s="1" t="s">
        <v>133</v>
      </c>
      <c r="B223" s="1" t="str">
        <f>IFERROR(__xludf.DUMMYFUNCTION("GOOGLETRANSLATE(A149, ""zh-CN"", ""en"")"),"Shanxi Province")</f>
        <v>Shanxi Province</v>
      </c>
      <c r="C223" s="1" t="s">
        <v>141</v>
      </c>
      <c r="D223" s="1" t="str">
        <f>IFERROR(__xludf.DUMMYFUNCTION("GOOGLETRANSLATE(C223, ""zh-CN"", ""en"")"),"Transport city")</f>
        <v>Transport city</v>
      </c>
      <c r="E223" s="1" t="s">
        <v>219</v>
      </c>
      <c r="F223" s="1" t="str">
        <f>IFERROR(__xludf.DUMMYFUNCTION("GOOGLETRANSLATE(E223, ""zh-CN"", ""en"")"),"Yongji City")</f>
        <v>Yongji City</v>
      </c>
      <c r="G223" s="1">
        <v>1.40881E11</v>
      </c>
    </row>
    <row r="224">
      <c r="A224" s="1" t="s">
        <v>133</v>
      </c>
      <c r="B224" s="1" t="str">
        <f>IFERROR(__xludf.DUMMYFUNCTION("GOOGLETRANSLATE(A150, ""zh-CN"", ""en"")"),"Shanxi Province")</f>
        <v>Shanxi Province</v>
      </c>
      <c r="C224" s="1" t="s">
        <v>141</v>
      </c>
      <c r="D224" s="1" t="str">
        <f>IFERROR(__xludf.DUMMYFUNCTION("GOOGLETRANSLATE(C224, ""zh-CN"", ""en"")"),"Transport city")</f>
        <v>Transport city</v>
      </c>
      <c r="E224" s="1" t="s">
        <v>220</v>
      </c>
      <c r="F224" s="1" t="str">
        <f>IFERROR(__xludf.DUMMYFUNCTION("GOOGLETRANSLATE(E224, ""zh-CN"", ""en"")"),"Hejin")</f>
        <v>Hejin</v>
      </c>
      <c r="G224" s="1">
        <v>1.40882E11</v>
      </c>
    </row>
    <row r="225">
      <c r="A225" s="1" t="s">
        <v>133</v>
      </c>
      <c r="B225" s="1" t="str">
        <f>IFERROR(__xludf.DUMMYFUNCTION("GOOGLETRANSLATE(A151, ""zh-CN"", ""en"")"),"Shanxi Province")</f>
        <v>Shanxi Province</v>
      </c>
      <c r="C225" s="1" t="s">
        <v>142</v>
      </c>
      <c r="D225" s="1" t="str">
        <f>IFERROR(__xludf.DUMMYFUNCTION("GOOGLETRANSLATE(C225, ""zh-CN"", ""en"")"),"Xinzhou")</f>
        <v>Xinzhou</v>
      </c>
      <c r="E225" s="1" t="s">
        <v>24</v>
      </c>
      <c r="F225" s="1" t="str">
        <f>IFERROR(__xludf.DUMMYFUNCTION("GOOGLETRANSLATE(E225, ""zh-CN"", ""en"")"),"City area")</f>
        <v>City area</v>
      </c>
      <c r="G225" s="1">
        <v>1.40901E11</v>
      </c>
    </row>
    <row r="226">
      <c r="A226" s="1" t="s">
        <v>133</v>
      </c>
      <c r="B226" s="1" t="str">
        <f>IFERROR(__xludf.DUMMYFUNCTION("GOOGLETRANSLATE(A152, ""zh-CN"", ""en"")"),"Shanxi Province")</f>
        <v>Shanxi Province</v>
      </c>
      <c r="C226" s="1" t="s">
        <v>142</v>
      </c>
      <c r="D226" s="1" t="str">
        <f>IFERROR(__xludf.DUMMYFUNCTION("GOOGLETRANSLATE(C226, ""zh-CN"", ""en"")"),"Xinzhou")</f>
        <v>Xinzhou</v>
      </c>
      <c r="E226" s="1" t="s">
        <v>221</v>
      </c>
      <c r="F226" s="1" t="str">
        <f>IFERROR(__xludf.DUMMYFUNCTION("GOOGLETRANSLATE(E226, ""zh-CN"", ""en"")"),"Xinfu District")</f>
        <v>Xinfu District</v>
      </c>
      <c r="G226" s="1">
        <v>1.40902E11</v>
      </c>
    </row>
    <row r="227">
      <c r="A227" s="1" t="s">
        <v>133</v>
      </c>
      <c r="B227" s="1" t="str">
        <f>IFERROR(__xludf.DUMMYFUNCTION("GOOGLETRANSLATE(A153, ""zh-CN"", ""en"")"),"Shanxi Province")</f>
        <v>Shanxi Province</v>
      </c>
      <c r="C227" s="1" t="s">
        <v>142</v>
      </c>
      <c r="D227" s="1" t="str">
        <f>IFERROR(__xludf.DUMMYFUNCTION("GOOGLETRANSLATE(C227, ""zh-CN"", ""en"")"),"Xinzhou")</f>
        <v>Xinzhou</v>
      </c>
      <c r="E227" s="1" t="s">
        <v>222</v>
      </c>
      <c r="F227" s="1" t="str">
        <f>IFERROR(__xludf.DUMMYFUNCTION("GOOGLETRANSLATE(E227, ""zh-CN"", ""en"")"),"Dingxiang County")</f>
        <v>Dingxiang County</v>
      </c>
      <c r="G227" s="1">
        <v>1.40921E11</v>
      </c>
    </row>
    <row r="228">
      <c r="A228" s="1" t="s">
        <v>133</v>
      </c>
      <c r="B228" s="1" t="str">
        <f>IFERROR(__xludf.DUMMYFUNCTION("GOOGLETRANSLATE(A154, ""zh-CN"", ""en"")"),"Shanxi Province")</f>
        <v>Shanxi Province</v>
      </c>
      <c r="C228" s="1" t="s">
        <v>142</v>
      </c>
      <c r="D228" s="1" t="str">
        <f>IFERROR(__xludf.DUMMYFUNCTION("GOOGLETRANSLATE(C228, ""zh-CN"", ""en"")"),"Xinzhou")</f>
        <v>Xinzhou</v>
      </c>
      <c r="E228" s="1" t="s">
        <v>223</v>
      </c>
      <c r="F228" s="1" t="str">
        <f>IFERROR(__xludf.DUMMYFUNCTION("GOOGLETRANSLATE(E228, ""zh-CN"", ""en"")"),"Wutai County")</f>
        <v>Wutai County</v>
      </c>
      <c r="G228" s="1">
        <v>1.40922E11</v>
      </c>
    </row>
    <row r="229">
      <c r="A229" s="1" t="s">
        <v>133</v>
      </c>
      <c r="B229" s="1" t="str">
        <f>IFERROR(__xludf.DUMMYFUNCTION("GOOGLETRANSLATE(A155, ""zh-CN"", ""en"")"),"Shanxi Province")</f>
        <v>Shanxi Province</v>
      </c>
      <c r="C229" s="1" t="s">
        <v>142</v>
      </c>
      <c r="D229" s="1" t="str">
        <f>IFERROR(__xludf.DUMMYFUNCTION("GOOGLETRANSLATE(C229, ""zh-CN"", ""en"")"),"Xinzhou")</f>
        <v>Xinzhou</v>
      </c>
      <c r="E229" s="1" t="s">
        <v>224</v>
      </c>
      <c r="F229" s="1" t="str">
        <f>IFERROR(__xludf.DUMMYFUNCTION("GOOGLETRANSLATE(E229, ""zh-CN"", ""en"")"),"Extended county")</f>
        <v>Extended county</v>
      </c>
      <c r="G229" s="1">
        <v>1.40923E11</v>
      </c>
    </row>
    <row r="230">
      <c r="A230" s="1" t="s">
        <v>133</v>
      </c>
      <c r="B230" s="1" t="str">
        <f>IFERROR(__xludf.DUMMYFUNCTION("GOOGLETRANSLATE(A156, ""zh-CN"", ""en"")"),"Shanxi Province")</f>
        <v>Shanxi Province</v>
      </c>
      <c r="C230" s="1" t="s">
        <v>142</v>
      </c>
      <c r="D230" s="1" t="str">
        <f>IFERROR(__xludf.DUMMYFUNCTION("GOOGLETRANSLATE(C230, ""zh-CN"", ""en"")"),"Xinzhou")</f>
        <v>Xinzhou</v>
      </c>
      <c r="E230" s="1" t="s">
        <v>225</v>
      </c>
      <c r="F230" s="1" t="str">
        <f>IFERROR(__xludf.DUMMYFUNCTION("GOOGLETRANSLATE(E230, ""zh-CN"", ""en"")"),"Fanzhi County")</f>
        <v>Fanzhi County</v>
      </c>
      <c r="G230" s="1">
        <v>1.40924E11</v>
      </c>
    </row>
    <row r="231">
      <c r="A231" s="1" t="s">
        <v>133</v>
      </c>
      <c r="B231" s="1" t="str">
        <f>IFERROR(__xludf.DUMMYFUNCTION("GOOGLETRANSLATE(A157, ""zh-CN"", ""en"")"),"Shanxi Province")</f>
        <v>Shanxi Province</v>
      </c>
      <c r="C231" s="1" t="s">
        <v>142</v>
      </c>
      <c r="D231" s="1" t="str">
        <f>IFERROR(__xludf.DUMMYFUNCTION("GOOGLETRANSLATE(C231, ""zh-CN"", ""en"")"),"Xinzhou")</f>
        <v>Xinzhou</v>
      </c>
      <c r="E231" s="1" t="s">
        <v>226</v>
      </c>
      <c r="F231" s="1" t="str">
        <f>IFERROR(__xludf.DUMMYFUNCTION("GOOGLETRANSLATE(E231, ""zh-CN"", ""en"")"),"Ningwu County")</f>
        <v>Ningwu County</v>
      </c>
      <c r="G231" s="1">
        <v>1.40925E11</v>
      </c>
    </row>
    <row r="232">
      <c r="A232" s="1" t="s">
        <v>133</v>
      </c>
      <c r="B232" s="1" t="str">
        <f>IFERROR(__xludf.DUMMYFUNCTION("GOOGLETRANSLATE(A158, ""zh-CN"", ""en"")"),"Shanxi Province")</f>
        <v>Shanxi Province</v>
      </c>
      <c r="C232" s="1" t="s">
        <v>142</v>
      </c>
      <c r="D232" s="1" t="str">
        <f>IFERROR(__xludf.DUMMYFUNCTION("GOOGLETRANSLATE(C232, ""zh-CN"", ""en"")"),"Xinzhou")</f>
        <v>Xinzhou</v>
      </c>
      <c r="E232" s="1" t="s">
        <v>227</v>
      </c>
      <c r="F232" s="1" t="str">
        <f>IFERROR(__xludf.DUMMYFUNCTION("GOOGLETRANSLATE(E232, ""zh-CN"", ""en"")"),"Jingle County")</f>
        <v>Jingle County</v>
      </c>
      <c r="G232" s="1">
        <v>1.40926E11</v>
      </c>
    </row>
    <row r="233">
      <c r="A233" s="1" t="s">
        <v>133</v>
      </c>
      <c r="B233" s="1" t="str">
        <f>IFERROR(__xludf.DUMMYFUNCTION("GOOGLETRANSLATE(A159, ""zh-CN"", ""en"")"),"Shanxi Province")</f>
        <v>Shanxi Province</v>
      </c>
      <c r="C233" s="1" t="s">
        <v>142</v>
      </c>
      <c r="D233" s="1" t="str">
        <f>IFERROR(__xludf.DUMMYFUNCTION("GOOGLETRANSLATE(C233, ""zh-CN"", ""en"")"),"Xinzhou")</f>
        <v>Xinzhou</v>
      </c>
      <c r="E233" s="1" t="s">
        <v>228</v>
      </c>
      <c r="F233" s="1" t="str">
        <f>IFERROR(__xludf.DUMMYFUNCTION("GOOGLETRANSLATE(E233, ""zh-CN"", ""en"")"),"Shenchi County")</f>
        <v>Shenchi County</v>
      </c>
      <c r="G233" s="1">
        <v>1.40927E11</v>
      </c>
    </row>
    <row r="234">
      <c r="A234" s="1" t="s">
        <v>133</v>
      </c>
      <c r="B234" s="1" t="str">
        <f>IFERROR(__xludf.DUMMYFUNCTION("GOOGLETRANSLATE(A160, ""zh-CN"", ""en"")"),"Shanxi Province")</f>
        <v>Shanxi Province</v>
      </c>
      <c r="C234" s="1" t="s">
        <v>142</v>
      </c>
      <c r="D234" s="1" t="str">
        <f>IFERROR(__xludf.DUMMYFUNCTION("GOOGLETRANSLATE(C234, ""zh-CN"", ""en"")"),"Xinzhou")</f>
        <v>Xinzhou</v>
      </c>
      <c r="E234" s="1" t="s">
        <v>229</v>
      </c>
      <c r="F234" s="1" t="str">
        <f>IFERROR(__xludf.DUMMYFUNCTION("GOOGLETRANSLATE(E234, ""zh-CN"", ""en"")"),"Wuzhai County")</f>
        <v>Wuzhai County</v>
      </c>
      <c r="G234" s="1">
        <v>1.40928E11</v>
      </c>
    </row>
    <row r="235">
      <c r="A235" s="1" t="s">
        <v>133</v>
      </c>
      <c r="B235" s="1" t="str">
        <f>IFERROR(__xludf.DUMMYFUNCTION("GOOGLETRANSLATE(A161, ""zh-CN"", ""en"")"),"Shanxi Province")</f>
        <v>Shanxi Province</v>
      </c>
      <c r="C235" s="1" t="s">
        <v>142</v>
      </c>
      <c r="D235" s="1" t="str">
        <f>IFERROR(__xludf.DUMMYFUNCTION("GOOGLETRANSLATE(C235, ""zh-CN"", ""en"")"),"Xinzhou")</f>
        <v>Xinzhou</v>
      </c>
      <c r="E235" s="1" t="s">
        <v>230</v>
      </c>
      <c r="F235" s="1" t="str">
        <f>IFERROR(__xludf.DUMMYFUNCTION("GOOGLETRANSLATE(E235, ""zh-CN"", ""en"")"),"岢 岢 岢 岢 岢")</f>
        <v>岢 岢 岢 岢 岢</v>
      </c>
      <c r="G235" s="1">
        <v>1.40929E11</v>
      </c>
    </row>
    <row r="236">
      <c r="A236" s="1" t="s">
        <v>133</v>
      </c>
      <c r="B236" s="1" t="str">
        <f>IFERROR(__xludf.DUMMYFUNCTION("GOOGLETRANSLATE(A162, ""zh-CN"", ""en"")"),"Shanxi Province")</f>
        <v>Shanxi Province</v>
      </c>
      <c r="C236" s="1" t="s">
        <v>142</v>
      </c>
      <c r="D236" s="1" t="str">
        <f>IFERROR(__xludf.DUMMYFUNCTION("GOOGLETRANSLATE(C236, ""zh-CN"", ""en"")"),"Xinzhou")</f>
        <v>Xinzhou</v>
      </c>
      <c r="E236" s="1" t="s">
        <v>231</v>
      </c>
      <c r="F236" s="1" t="str">
        <f>IFERROR(__xludf.DUMMYFUNCTION("GOOGLETRANSLATE(E236, ""zh-CN"", ""en"")"),"Hequ County")</f>
        <v>Hequ County</v>
      </c>
      <c r="G236" s="1">
        <v>1.4093E11</v>
      </c>
    </row>
    <row r="237">
      <c r="A237" s="1" t="s">
        <v>133</v>
      </c>
      <c r="B237" s="1" t="str">
        <f>IFERROR(__xludf.DUMMYFUNCTION("GOOGLETRANSLATE(A163, ""zh-CN"", ""en"")"),"Shanxi Province")</f>
        <v>Shanxi Province</v>
      </c>
      <c r="C237" s="1" t="s">
        <v>142</v>
      </c>
      <c r="D237" s="1" t="str">
        <f>IFERROR(__xludf.DUMMYFUNCTION("GOOGLETRANSLATE(C237, ""zh-CN"", ""en"")"),"Xinzhou")</f>
        <v>Xinzhou</v>
      </c>
      <c r="E237" s="1" t="s">
        <v>232</v>
      </c>
      <c r="F237" s="1" t="str">
        <f>IFERROR(__xludf.DUMMYFUNCTION("GOOGLETRANSLATE(E237, ""zh-CN"", ""en"")"),"Baode County")</f>
        <v>Baode County</v>
      </c>
      <c r="G237" s="1">
        <v>1.40931E11</v>
      </c>
    </row>
    <row r="238">
      <c r="A238" s="1" t="s">
        <v>133</v>
      </c>
      <c r="B238" s="1" t="str">
        <f>IFERROR(__xludf.DUMMYFUNCTION("GOOGLETRANSLATE(A164, ""zh-CN"", ""en"")"),"Shanxi Province")</f>
        <v>Shanxi Province</v>
      </c>
      <c r="C238" s="1" t="s">
        <v>142</v>
      </c>
      <c r="D238" s="1" t="str">
        <f>IFERROR(__xludf.DUMMYFUNCTION("GOOGLETRANSLATE(C238, ""zh-CN"", ""en"")"),"Xinzhou")</f>
        <v>Xinzhou</v>
      </c>
      <c r="E238" s="1" t="s">
        <v>233</v>
      </c>
      <c r="F238" s="1" t="str">
        <f>IFERROR(__xludf.DUMMYFUNCTION("GOOGLETRANSLATE(E238, ""zh-CN"", ""en"")"),"Yiguan County")</f>
        <v>Yiguan County</v>
      </c>
      <c r="G238" s="1">
        <v>1.40932E11</v>
      </c>
    </row>
    <row r="239">
      <c r="A239" s="1" t="s">
        <v>133</v>
      </c>
      <c r="B239" s="1" t="str">
        <f>IFERROR(__xludf.DUMMYFUNCTION("GOOGLETRANSLATE(A165, ""zh-CN"", ""en"")"),"Shanxi Province")</f>
        <v>Shanxi Province</v>
      </c>
      <c r="C239" s="1" t="s">
        <v>142</v>
      </c>
      <c r="D239" s="1" t="str">
        <f>IFERROR(__xludf.DUMMYFUNCTION("GOOGLETRANSLATE(C239, ""zh-CN"", ""en"")"),"Xinzhou")</f>
        <v>Xinzhou</v>
      </c>
      <c r="E239" s="1" t="s">
        <v>234</v>
      </c>
      <c r="F239" s="1" t="str">
        <f>IFERROR(__xludf.DUMMYFUNCTION("GOOGLETRANSLATE(E239, ""zh-CN"", ""en"")"),"Wutai Mountain Scenic Area")</f>
        <v>Wutai Mountain Scenic Area</v>
      </c>
      <c r="G239" s="1">
        <v>1.40971E11</v>
      </c>
    </row>
    <row r="240">
      <c r="A240" s="1" t="s">
        <v>133</v>
      </c>
      <c r="B240" s="1" t="str">
        <f>IFERROR(__xludf.DUMMYFUNCTION("GOOGLETRANSLATE(A166, ""zh-CN"", ""en"")"),"Shanxi Province")</f>
        <v>Shanxi Province</v>
      </c>
      <c r="C240" s="1" t="s">
        <v>142</v>
      </c>
      <c r="D240" s="1" t="str">
        <f>IFERROR(__xludf.DUMMYFUNCTION("GOOGLETRANSLATE(C240, ""zh-CN"", ""en"")"),"Xinzhou")</f>
        <v>Xinzhou</v>
      </c>
      <c r="E240" s="1" t="s">
        <v>235</v>
      </c>
      <c r="F240" s="1" t="str">
        <f>IFERROR(__xludf.DUMMYFUNCTION("GOOGLETRANSLATE(E240, ""zh-CN"", ""en"")"),"Yuanping City")</f>
        <v>Yuanping City</v>
      </c>
      <c r="G240" s="1">
        <v>1.40981E11</v>
      </c>
    </row>
    <row r="241">
      <c r="A241" s="1" t="s">
        <v>133</v>
      </c>
      <c r="B241" s="1" t="str">
        <f>IFERROR(__xludf.DUMMYFUNCTION("GOOGLETRANSLATE(A167, ""zh-CN"", ""en"")"),"Shanxi Province")</f>
        <v>Shanxi Province</v>
      </c>
      <c r="C241" s="1" t="s">
        <v>143</v>
      </c>
      <c r="D241" s="1" t="str">
        <f>IFERROR(__xludf.DUMMYFUNCTION("GOOGLETRANSLATE(C241, ""zh-CN"", ""en"")"),"Linfen City")</f>
        <v>Linfen City</v>
      </c>
      <c r="E241" s="1" t="s">
        <v>24</v>
      </c>
      <c r="F241" s="1" t="str">
        <f>IFERROR(__xludf.DUMMYFUNCTION("GOOGLETRANSLATE(E241, ""zh-CN"", ""en"")"),"City area")</f>
        <v>City area</v>
      </c>
      <c r="G241" s="1">
        <v>1.41001E11</v>
      </c>
    </row>
    <row r="242">
      <c r="A242" s="1" t="s">
        <v>133</v>
      </c>
      <c r="B242" s="1" t="str">
        <f>IFERROR(__xludf.DUMMYFUNCTION("GOOGLETRANSLATE(A168, ""zh-CN"", ""en"")"),"Shanxi Province")</f>
        <v>Shanxi Province</v>
      </c>
      <c r="C242" s="1" t="s">
        <v>143</v>
      </c>
      <c r="D242" s="1" t="str">
        <f>IFERROR(__xludf.DUMMYFUNCTION("GOOGLETRANSLATE(C242, ""zh-CN"", ""en"")"),"Linfen City")</f>
        <v>Linfen City</v>
      </c>
      <c r="E242" s="1" t="s">
        <v>236</v>
      </c>
      <c r="F242" s="1" t="str">
        <f>IFERROR(__xludf.DUMMYFUNCTION("GOOGLETRANSLATE(E242, ""zh-CN"", ""en"")"),"Yaotu District")</f>
        <v>Yaotu District</v>
      </c>
      <c r="G242" s="1">
        <v>1.41002E11</v>
      </c>
    </row>
    <row r="243">
      <c r="A243" s="1" t="s">
        <v>133</v>
      </c>
      <c r="B243" s="1" t="str">
        <f>IFERROR(__xludf.DUMMYFUNCTION("GOOGLETRANSLATE(A169, ""zh-CN"", ""en"")"),"Shanxi Province")</f>
        <v>Shanxi Province</v>
      </c>
      <c r="C243" s="1" t="s">
        <v>143</v>
      </c>
      <c r="D243" s="1" t="str">
        <f>IFERROR(__xludf.DUMMYFUNCTION("GOOGLETRANSLATE(C243, ""zh-CN"", ""en"")"),"Linfen City")</f>
        <v>Linfen City</v>
      </c>
      <c r="E243" s="1" t="s">
        <v>237</v>
      </c>
      <c r="F243" s="1" t="str">
        <f>IFERROR(__xludf.DUMMYFUNCTION("GOOGLETRANSLATE(E243, ""zh-CN"", ""en"")"),"Quwo County")</f>
        <v>Quwo County</v>
      </c>
      <c r="G243" s="1">
        <v>1.41021E11</v>
      </c>
    </row>
    <row r="244">
      <c r="A244" s="1" t="s">
        <v>133</v>
      </c>
      <c r="B244" s="1" t="str">
        <f>IFERROR(__xludf.DUMMYFUNCTION("GOOGLETRANSLATE(A170, ""zh-CN"", ""en"")"),"Shanxi Province")</f>
        <v>Shanxi Province</v>
      </c>
      <c r="C244" s="1" t="s">
        <v>143</v>
      </c>
      <c r="D244" s="1" t="str">
        <f>IFERROR(__xludf.DUMMYFUNCTION("GOOGLETRANSLATE(C244, ""zh-CN"", ""en"")"),"Linfen City")</f>
        <v>Linfen City</v>
      </c>
      <c r="E244" s="1" t="s">
        <v>238</v>
      </c>
      <c r="F244" s="1" t="str">
        <f>IFERROR(__xludf.DUMMYFUNCTION("GOOGLETRANSLATE(E244, ""zh-CN"", ""en"")"),"Yicheng County")</f>
        <v>Yicheng County</v>
      </c>
      <c r="G244" s="1">
        <v>1.41022E11</v>
      </c>
    </row>
    <row r="245">
      <c r="A245" s="1" t="s">
        <v>133</v>
      </c>
      <c r="B245" s="1" t="str">
        <f>IFERROR(__xludf.DUMMYFUNCTION("GOOGLETRANSLATE(A171, ""zh-CN"", ""en"")"),"Shanxi Province")</f>
        <v>Shanxi Province</v>
      </c>
      <c r="C245" s="1" t="s">
        <v>143</v>
      </c>
      <c r="D245" s="1" t="str">
        <f>IFERROR(__xludf.DUMMYFUNCTION("GOOGLETRANSLATE(C245, ""zh-CN"", ""en"")"),"Linfen City")</f>
        <v>Linfen City</v>
      </c>
      <c r="E245" s="1" t="s">
        <v>239</v>
      </c>
      <c r="F245" s="1" t="str">
        <f>IFERROR(__xludf.DUMMYFUNCTION("GOOGLETRANSLATE(E245, ""zh-CN"", ""en"")"),"Xiangfen County")</f>
        <v>Xiangfen County</v>
      </c>
      <c r="G245" s="1">
        <v>1.41023E11</v>
      </c>
    </row>
    <row r="246">
      <c r="A246" s="1" t="s">
        <v>133</v>
      </c>
      <c r="B246" s="1" t="str">
        <f>IFERROR(__xludf.DUMMYFUNCTION("GOOGLETRANSLATE(A172, ""zh-CN"", ""en"")"),"Shanxi Province")</f>
        <v>Shanxi Province</v>
      </c>
      <c r="C246" s="1" t="s">
        <v>143</v>
      </c>
      <c r="D246" s="1" t="str">
        <f>IFERROR(__xludf.DUMMYFUNCTION("GOOGLETRANSLATE(C246, ""zh-CN"", ""en"")"),"Linfen City")</f>
        <v>Linfen City</v>
      </c>
      <c r="E246" s="1" t="s">
        <v>240</v>
      </c>
      <c r="F246" s="1" t="str">
        <f>IFERROR(__xludf.DUMMYFUNCTION("GOOGLETRANSLATE(E246, ""zh-CN"", ""en"")"),"Hongdong County")</f>
        <v>Hongdong County</v>
      </c>
      <c r="G246" s="1">
        <v>1.41024E11</v>
      </c>
    </row>
    <row r="247">
      <c r="A247" s="1" t="s">
        <v>133</v>
      </c>
      <c r="B247" s="1" t="str">
        <f>IFERROR(__xludf.DUMMYFUNCTION("GOOGLETRANSLATE(A173, ""zh-CN"", ""en"")"),"Shanxi Province")</f>
        <v>Shanxi Province</v>
      </c>
      <c r="C247" s="1" t="s">
        <v>143</v>
      </c>
      <c r="D247" s="1" t="str">
        <f>IFERROR(__xludf.DUMMYFUNCTION("GOOGLETRANSLATE(C247, ""zh-CN"", ""en"")"),"Linfen City")</f>
        <v>Linfen City</v>
      </c>
      <c r="E247" s="1" t="s">
        <v>241</v>
      </c>
      <c r="F247" s="1" t="str">
        <f>IFERROR(__xludf.DUMMYFUNCTION("GOOGLETRANSLATE(E247, ""zh-CN"", ""en"")"),"Ancient county")</f>
        <v>Ancient county</v>
      </c>
      <c r="G247" s="1">
        <v>1.41025E11</v>
      </c>
    </row>
    <row r="248">
      <c r="A248" s="1" t="s">
        <v>133</v>
      </c>
      <c r="B248" s="1" t="str">
        <f>IFERROR(__xludf.DUMMYFUNCTION("GOOGLETRANSLATE(A174, ""zh-CN"", ""en"")"),"Shanxi Province")</f>
        <v>Shanxi Province</v>
      </c>
      <c r="C248" s="1" t="s">
        <v>143</v>
      </c>
      <c r="D248" s="1" t="str">
        <f>IFERROR(__xludf.DUMMYFUNCTION("GOOGLETRANSLATE(C248, ""zh-CN"", ""en"")"),"Linfen City")</f>
        <v>Linfen City</v>
      </c>
      <c r="E248" s="1" t="s">
        <v>242</v>
      </c>
      <c r="F248" s="1" t="str">
        <f>IFERROR(__xludf.DUMMYFUNCTION("GOOGLETRANSLATE(E248, ""zh-CN"", ""en"")"),"Anze County")</f>
        <v>Anze County</v>
      </c>
      <c r="G248" s="1">
        <v>1.41026E11</v>
      </c>
    </row>
    <row r="249">
      <c r="A249" s="1" t="s">
        <v>133</v>
      </c>
      <c r="B249" s="1" t="str">
        <f>IFERROR(__xludf.DUMMYFUNCTION("GOOGLETRANSLATE(A175, ""zh-CN"", ""en"")"),"Shanxi Province")</f>
        <v>Shanxi Province</v>
      </c>
      <c r="C249" s="1" t="s">
        <v>143</v>
      </c>
      <c r="D249" s="1" t="str">
        <f>IFERROR(__xludf.DUMMYFUNCTION("GOOGLETRANSLATE(C249, ""zh-CN"", ""en"")"),"Linfen City")</f>
        <v>Linfen City</v>
      </c>
      <c r="E249" s="1" t="s">
        <v>243</v>
      </c>
      <c r="F249" s="1" t="str">
        <f>IFERROR(__xludf.DUMMYFUNCTION("GOOGLETRANSLATE(E249, ""zh-CN"", ""en"")"),"Fushan County")</f>
        <v>Fushan County</v>
      </c>
      <c r="G249" s="1">
        <v>1.41027E11</v>
      </c>
    </row>
    <row r="250">
      <c r="A250" s="1" t="s">
        <v>133</v>
      </c>
      <c r="B250" s="1" t="str">
        <f>IFERROR(__xludf.DUMMYFUNCTION("GOOGLETRANSLATE(A176, ""zh-CN"", ""en"")"),"Shanxi Province")</f>
        <v>Shanxi Province</v>
      </c>
      <c r="C250" s="1" t="s">
        <v>143</v>
      </c>
      <c r="D250" s="1" t="str">
        <f>IFERROR(__xludf.DUMMYFUNCTION("GOOGLETRANSLATE(C250, ""zh-CN"", ""en"")"),"Linfen City")</f>
        <v>Linfen City</v>
      </c>
      <c r="E250" s="1" t="s">
        <v>244</v>
      </c>
      <c r="F250" s="1" t="str">
        <f>IFERROR(__xludf.DUMMYFUNCTION("GOOGLETRANSLATE(E250, ""zh-CN"", ""en"")"),"Ji County")</f>
        <v>Ji County</v>
      </c>
      <c r="G250" s="1">
        <v>1.41028E11</v>
      </c>
    </row>
    <row r="251">
      <c r="A251" s="1" t="s">
        <v>133</v>
      </c>
      <c r="B251" s="1" t="str">
        <f>IFERROR(__xludf.DUMMYFUNCTION("GOOGLETRANSLATE(A177, ""zh-CN"", ""en"")"),"Shanxi Province")</f>
        <v>Shanxi Province</v>
      </c>
      <c r="C251" s="1" t="s">
        <v>143</v>
      </c>
      <c r="D251" s="1" t="str">
        <f>IFERROR(__xludf.DUMMYFUNCTION("GOOGLETRANSLATE(C251, ""zh-CN"", ""en"")"),"Linfen City")</f>
        <v>Linfen City</v>
      </c>
      <c r="E251" s="1" t="s">
        <v>245</v>
      </c>
      <c r="F251" s="1" t="str">
        <f>IFERROR(__xludf.DUMMYFUNCTION("GOOGLETRANSLATE(E251, ""zh-CN"", ""en"")"),"Xiangning County")</f>
        <v>Xiangning County</v>
      </c>
      <c r="G251" s="1">
        <v>1.41029E11</v>
      </c>
    </row>
    <row r="252">
      <c r="A252" s="1" t="s">
        <v>133</v>
      </c>
      <c r="B252" s="1" t="str">
        <f>IFERROR(__xludf.DUMMYFUNCTION("GOOGLETRANSLATE(A178, ""zh-CN"", ""en"")"),"Shanxi Province")</f>
        <v>Shanxi Province</v>
      </c>
      <c r="C252" s="1" t="s">
        <v>143</v>
      </c>
      <c r="D252" s="1" t="str">
        <f>IFERROR(__xludf.DUMMYFUNCTION("GOOGLETRANSLATE(C252, ""zh-CN"", ""en"")"),"Linfen City")</f>
        <v>Linfen City</v>
      </c>
      <c r="E252" s="1" t="s">
        <v>246</v>
      </c>
      <c r="F252" s="1" t="str">
        <f>IFERROR(__xludf.DUMMYFUNCTION("GOOGLETRANSLATE(E252, ""zh-CN"", ""en"")"),"Daning County")</f>
        <v>Daning County</v>
      </c>
      <c r="G252" s="1">
        <v>1.4103E11</v>
      </c>
    </row>
    <row r="253">
      <c r="A253" s="1" t="s">
        <v>133</v>
      </c>
      <c r="B253" s="1" t="str">
        <f>IFERROR(__xludf.DUMMYFUNCTION("GOOGLETRANSLATE(A179, ""zh-CN"", ""en"")"),"Shanxi Province")</f>
        <v>Shanxi Province</v>
      </c>
      <c r="C253" s="1" t="s">
        <v>143</v>
      </c>
      <c r="D253" s="1" t="str">
        <f>IFERROR(__xludf.DUMMYFUNCTION("GOOGLETRANSLATE(C253, ""zh-CN"", ""en"")"),"Linfen City")</f>
        <v>Linfen City</v>
      </c>
      <c r="E253" s="1" t="s">
        <v>247</v>
      </c>
      <c r="F253" s="1" t="str">
        <f>IFERROR(__xludf.DUMMYFUNCTION("GOOGLETRANSLATE(E253, ""zh-CN"", ""en"")"),"Qixian County")</f>
        <v>Qixian County</v>
      </c>
      <c r="G253" s="1">
        <v>1.41031E11</v>
      </c>
    </row>
    <row r="254">
      <c r="A254" s="1" t="s">
        <v>133</v>
      </c>
      <c r="B254" s="1" t="str">
        <f>IFERROR(__xludf.DUMMYFUNCTION("GOOGLETRANSLATE(A180, ""zh-CN"", ""en"")"),"Shanxi Province")</f>
        <v>Shanxi Province</v>
      </c>
      <c r="C254" s="1" t="s">
        <v>143</v>
      </c>
      <c r="D254" s="1" t="str">
        <f>IFERROR(__xludf.DUMMYFUNCTION("GOOGLETRANSLATE(C254, ""zh-CN"", ""en"")"),"Linfen City")</f>
        <v>Linfen City</v>
      </c>
      <c r="E254" s="1" t="s">
        <v>248</v>
      </c>
      <c r="F254" s="1" t="str">
        <f>IFERROR(__xludf.DUMMYFUNCTION("GOOGLETRANSLATE(E254, ""zh-CN"", ""en"")"),"Yonghe County")</f>
        <v>Yonghe County</v>
      </c>
      <c r="G254" s="1">
        <v>1.41032E11</v>
      </c>
    </row>
    <row r="255">
      <c r="A255" s="1" t="s">
        <v>133</v>
      </c>
      <c r="B255" s="1" t="str">
        <f>IFERROR(__xludf.DUMMYFUNCTION("GOOGLETRANSLATE(A181, ""zh-CN"", ""en"")"),"Shanxi Province")</f>
        <v>Shanxi Province</v>
      </c>
      <c r="C255" s="1" t="s">
        <v>143</v>
      </c>
      <c r="D255" s="1" t="str">
        <f>IFERROR(__xludf.DUMMYFUNCTION("GOOGLETRANSLATE(C255, ""zh-CN"", ""en"")"),"Linfen City")</f>
        <v>Linfen City</v>
      </c>
      <c r="E255" s="1" t="s">
        <v>249</v>
      </c>
      <c r="F255" s="1" t="str">
        <f>IFERROR(__xludf.DUMMYFUNCTION("GOOGLETRANSLATE(E255, ""zh-CN"", ""en"")"),"Pu County")</f>
        <v>Pu County</v>
      </c>
      <c r="G255" s="1">
        <v>1.41033E11</v>
      </c>
    </row>
    <row r="256">
      <c r="A256" s="1" t="s">
        <v>133</v>
      </c>
      <c r="B256" s="1" t="str">
        <f>IFERROR(__xludf.DUMMYFUNCTION("GOOGLETRANSLATE(A182, ""zh-CN"", ""en"")"),"Shanxi Province")</f>
        <v>Shanxi Province</v>
      </c>
      <c r="C256" s="1" t="s">
        <v>143</v>
      </c>
      <c r="D256" s="1" t="str">
        <f>IFERROR(__xludf.DUMMYFUNCTION("GOOGLETRANSLATE(C256, ""zh-CN"", ""en"")"),"Linfen City")</f>
        <v>Linfen City</v>
      </c>
      <c r="E256" s="1" t="s">
        <v>250</v>
      </c>
      <c r="F256" s="1" t="str">
        <f>IFERROR(__xludf.DUMMYFUNCTION("GOOGLETRANSLATE(E256, ""zh-CN"", ""en"")"),"Fenxi County")</f>
        <v>Fenxi County</v>
      </c>
      <c r="G256" s="1">
        <v>1.41034E11</v>
      </c>
    </row>
    <row r="257">
      <c r="A257" s="1" t="s">
        <v>133</v>
      </c>
      <c r="B257" s="1" t="str">
        <f>IFERROR(__xludf.DUMMYFUNCTION("GOOGLETRANSLATE(A183, ""zh-CN"", ""en"")"),"Shanxi Province")</f>
        <v>Shanxi Province</v>
      </c>
      <c r="C257" s="1" t="s">
        <v>143</v>
      </c>
      <c r="D257" s="1" t="str">
        <f>IFERROR(__xludf.DUMMYFUNCTION("GOOGLETRANSLATE(C257, ""zh-CN"", ""en"")"),"Linfen City")</f>
        <v>Linfen City</v>
      </c>
      <c r="E257" s="1" t="s">
        <v>251</v>
      </c>
      <c r="F257" s="1" t="str">
        <f>IFERROR(__xludf.DUMMYFUNCTION("GOOGLETRANSLATE(E257, ""zh-CN"", ""en"")"),"Houma City")</f>
        <v>Houma City</v>
      </c>
      <c r="G257" s="1">
        <v>1.41081E11</v>
      </c>
    </row>
    <row r="258">
      <c r="A258" s="1" t="s">
        <v>133</v>
      </c>
      <c r="B258" s="1" t="str">
        <f>IFERROR(__xludf.DUMMYFUNCTION("GOOGLETRANSLATE(A184, ""zh-CN"", ""en"")"),"Shanxi Province")</f>
        <v>Shanxi Province</v>
      </c>
      <c r="C258" s="1" t="s">
        <v>143</v>
      </c>
      <c r="D258" s="1" t="str">
        <f>IFERROR(__xludf.DUMMYFUNCTION("GOOGLETRANSLATE(C258, ""zh-CN"", ""en"")"),"Linfen City")</f>
        <v>Linfen City</v>
      </c>
      <c r="E258" s="1" t="s">
        <v>252</v>
      </c>
      <c r="F258" s="1" t="str">
        <f>IFERROR(__xludf.DUMMYFUNCTION("GOOGLETRANSLATE(E258, ""zh-CN"", ""en"")"),"Huozhou")</f>
        <v>Huozhou</v>
      </c>
      <c r="G258" s="1">
        <v>1.41082E11</v>
      </c>
    </row>
    <row r="259">
      <c r="A259" s="1" t="s">
        <v>133</v>
      </c>
      <c r="B259" s="1" t="str">
        <f>IFERROR(__xludf.DUMMYFUNCTION("GOOGLETRANSLATE(A185, ""zh-CN"", ""en"")"),"Shanxi Province")</f>
        <v>Shanxi Province</v>
      </c>
      <c r="C259" s="1" t="s">
        <v>144</v>
      </c>
      <c r="D259" s="1" t="str">
        <f>IFERROR(__xludf.DUMMYFUNCTION("GOOGLETRANSLATE(C259, ""zh-CN"", ""en"")"),"Luliang City")</f>
        <v>Luliang City</v>
      </c>
      <c r="E259" s="1" t="s">
        <v>24</v>
      </c>
      <c r="F259" s="1" t="str">
        <f>IFERROR(__xludf.DUMMYFUNCTION("GOOGLETRANSLATE(E259, ""zh-CN"", ""en"")"),"City area")</f>
        <v>City area</v>
      </c>
      <c r="G259" s="1">
        <v>1.41101E11</v>
      </c>
    </row>
    <row r="260">
      <c r="A260" s="1" t="s">
        <v>133</v>
      </c>
      <c r="B260" s="1" t="str">
        <f>IFERROR(__xludf.DUMMYFUNCTION("GOOGLETRANSLATE(A186, ""zh-CN"", ""en"")"),"Shanxi Province")</f>
        <v>Shanxi Province</v>
      </c>
      <c r="C260" s="1" t="s">
        <v>144</v>
      </c>
      <c r="D260" s="1" t="str">
        <f>IFERROR(__xludf.DUMMYFUNCTION("GOOGLETRANSLATE(C260, ""zh-CN"", ""en"")"),"Luliang City")</f>
        <v>Luliang City</v>
      </c>
      <c r="E260" s="1" t="s">
        <v>253</v>
      </c>
      <c r="F260" s="1" t="str">
        <f>IFERROR(__xludf.DUMMYFUNCTION("GOOGLETRANSLATE(E260, ""zh-CN"", ""en"")"),"Littering area")</f>
        <v>Littering area</v>
      </c>
      <c r="G260" s="1">
        <v>1.41102E11</v>
      </c>
    </row>
    <row r="261">
      <c r="A261" s="1" t="s">
        <v>133</v>
      </c>
      <c r="B261" s="1" t="str">
        <f>IFERROR(__xludf.DUMMYFUNCTION("GOOGLETRANSLATE(A187, ""zh-CN"", ""en"")"),"Shanxi Province")</f>
        <v>Shanxi Province</v>
      </c>
      <c r="C261" s="1" t="s">
        <v>144</v>
      </c>
      <c r="D261" s="1" t="str">
        <f>IFERROR(__xludf.DUMMYFUNCTION("GOOGLETRANSLATE(C261, ""zh-CN"", ""en"")"),"Luliang City")</f>
        <v>Luliang City</v>
      </c>
      <c r="E261" s="1" t="s">
        <v>254</v>
      </c>
      <c r="F261" s="1" t="str">
        <f>IFERROR(__xludf.DUMMYFUNCTION("GOOGLETRANSLATE(E261, ""zh-CN"", ""en"")"),"Wenshui County")</f>
        <v>Wenshui County</v>
      </c>
      <c r="G261" s="1">
        <v>1.41121E11</v>
      </c>
    </row>
    <row r="262">
      <c r="A262" s="1" t="s">
        <v>133</v>
      </c>
      <c r="B262" s="1" t="str">
        <f>IFERROR(__xludf.DUMMYFUNCTION("GOOGLETRANSLATE(A188, ""zh-CN"", ""en"")"),"Shanxi Province")</f>
        <v>Shanxi Province</v>
      </c>
      <c r="C262" s="1" t="s">
        <v>144</v>
      </c>
      <c r="D262" s="1" t="str">
        <f>IFERROR(__xludf.DUMMYFUNCTION("GOOGLETRANSLATE(C262, ""zh-CN"", ""en"")"),"Luliang City")</f>
        <v>Luliang City</v>
      </c>
      <c r="E262" s="1" t="s">
        <v>255</v>
      </c>
      <c r="F262" s="1" t="str">
        <f>IFERROR(__xludf.DUMMYFUNCTION("GOOGLETRANSLATE(E262, ""zh-CN"", ""en"")"),"Jiaocheng County")</f>
        <v>Jiaocheng County</v>
      </c>
      <c r="G262" s="1">
        <v>1.41122E11</v>
      </c>
    </row>
    <row r="263">
      <c r="A263" s="1" t="s">
        <v>133</v>
      </c>
      <c r="B263" s="1" t="str">
        <f>IFERROR(__xludf.DUMMYFUNCTION("GOOGLETRANSLATE(A189, ""zh-CN"", ""en"")"),"Shanxi Province")</f>
        <v>Shanxi Province</v>
      </c>
      <c r="C263" s="1" t="s">
        <v>144</v>
      </c>
      <c r="D263" s="1" t="str">
        <f>IFERROR(__xludf.DUMMYFUNCTION("GOOGLETRANSLATE(C263, ""zh-CN"", ""en"")"),"Luliang City")</f>
        <v>Luliang City</v>
      </c>
      <c r="E263" s="1" t="s">
        <v>256</v>
      </c>
      <c r="F263" s="1" t="str">
        <f>IFERROR(__xludf.DUMMYFUNCTION("GOOGLETRANSLATE(E263, ""zh-CN"", ""en"")"),"Xingxian")</f>
        <v>Xingxian</v>
      </c>
      <c r="G263" s="1">
        <v>1.41123E11</v>
      </c>
    </row>
    <row r="264">
      <c r="A264" s="1" t="s">
        <v>133</v>
      </c>
      <c r="B264" s="1" t="str">
        <f>IFERROR(__xludf.DUMMYFUNCTION("GOOGLETRANSLATE(A190, ""zh-CN"", ""en"")"),"Shanxi Province")</f>
        <v>Shanxi Province</v>
      </c>
      <c r="C264" s="1" t="s">
        <v>144</v>
      </c>
      <c r="D264" s="1" t="str">
        <f>IFERROR(__xludf.DUMMYFUNCTION("GOOGLETRANSLATE(C264, ""zh-CN"", ""en"")"),"Luliang City")</f>
        <v>Luliang City</v>
      </c>
      <c r="E264" s="1" t="s">
        <v>257</v>
      </c>
      <c r="F264" s="1" t="str">
        <f>IFERROR(__xludf.DUMMYFUNCTION("GOOGLETRANSLATE(E264, ""zh-CN"", ""en"")"),"Linxian")</f>
        <v>Linxian</v>
      </c>
      <c r="G264" s="1">
        <v>1.41124E11</v>
      </c>
    </row>
    <row r="265">
      <c r="A265" s="1" t="s">
        <v>133</v>
      </c>
      <c r="B265" s="1" t="str">
        <f>IFERROR(__xludf.DUMMYFUNCTION("GOOGLETRANSLATE(A191, ""zh-CN"", ""en"")"),"Shanxi Province")</f>
        <v>Shanxi Province</v>
      </c>
      <c r="C265" s="1" t="s">
        <v>144</v>
      </c>
      <c r="D265" s="1" t="str">
        <f>IFERROR(__xludf.DUMMYFUNCTION("GOOGLETRANSLATE(C265, ""zh-CN"", ""en"")"),"Luliang City")</f>
        <v>Luliang City</v>
      </c>
      <c r="E265" s="1" t="s">
        <v>258</v>
      </c>
      <c r="F265" s="1" t="str">
        <f>IFERROR(__xludf.DUMMYFUNCTION("GOOGLETRANSLATE(E265, ""zh-CN"", ""en"")"),"Liulin County")</f>
        <v>Liulin County</v>
      </c>
      <c r="G265" s="1">
        <v>1.41125E11</v>
      </c>
    </row>
    <row r="266">
      <c r="A266" s="1" t="s">
        <v>133</v>
      </c>
      <c r="B266" s="1" t="str">
        <f>IFERROR(__xludf.DUMMYFUNCTION("GOOGLETRANSLATE(A192, ""zh-CN"", ""en"")"),"Shanxi Province")</f>
        <v>Shanxi Province</v>
      </c>
      <c r="C266" s="1" t="s">
        <v>144</v>
      </c>
      <c r="D266" s="1" t="str">
        <f>IFERROR(__xludf.DUMMYFUNCTION("GOOGLETRANSLATE(C266, ""zh-CN"", ""en"")"),"Luliang City")</f>
        <v>Luliang City</v>
      </c>
      <c r="E266" s="1" t="s">
        <v>259</v>
      </c>
      <c r="F266" s="1" t="str">
        <f>IFERROR(__xludf.DUMMYFUNCTION("GOOGLETRANSLATE(E266, ""zh-CN"", ""en"")"),"Shilou County")</f>
        <v>Shilou County</v>
      </c>
      <c r="G266" s="1">
        <v>1.41126E11</v>
      </c>
    </row>
    <row r="267">
      <c r="A267" s="1" t="s">
        <v>133</v>
      </c>
      <c r="B267" s="1" t="str">
        <f>IFERROR(__xludf.DUMMYFUNCTION("GOOGLETRANSLATE(A193, ""zh-CN"", ""en"")"),"Shanxi Province")</f>
        <v>Shanxi Province</v>
      </c>
      <c r="C267" s="1" t="s">
        <v>144</v>
      </c>
      <c r="D267" s="1" t="str">
        <f>IFERROR(__xludf.DUMMYFUNCTION("GOOGLETRANSLATE(C267, ""zh-CN"", ""en"")"),"Luliang City")</f>
        <v>Luliang City</v>
      </c>
      <c r="E267" s="1" t="s">
        <v>260</v>
      </c>
      <c r="F267" s="1" t="str">
        <f>IFERROR(__xludf.DUMMYFUNCTION("GOOGLETRANSLATE(E267, ""zh-CN"", ""en"")"),"Lanxian County")</f>
        <v>Lanxian County</v>
      </c>
      <c r="G267" s="1">
        <v>1.41127E11</v>
      </c>
    </row>
    <row r="268">
      <c r="A268" s="1" t="s">
        <v>133</v>
      </c>
      <c r="B268" s="1" t="str">
        <f>IFERROR(__xludf.DUMMYFUNCTION("GOOGLETRANSLATE(A194, ""zh-CN"", ""en"")"),"Shanxi Province")</f>
        <v>Shanxi Province</v>
      </c>
      <c r="C268" s="1" t="s">
        <v>144</v>
      </c>
      <c r="D268" s="1" t="str">
        <f>IFERROR(__xludf.DUMMYFUNCTION("GOOGLETRANSLATE(C268, ""zh-CN"", ""en"")"),"Luliang City")</f>
        <v>Luliang City</v>
      </c>
      <c r="E268" s="1" t="s">
        <v>261</v>
      </c>
      <c r="F268" s="1" t="str">
        <f>IFERROR(__xludf.DUMMYFUNCTION("GOOGLETRANSLATE(E268, ""zh-CN"", ""en"")"),"Fangshan County")</f>
        <v>Fangshan County</v>
      </c>
      <c r="G268" s="1">
        <v>1.41128E11</v>
      </c>
    </row>
    <row r="269">
      <c r="A269" s="1" t="s">
        <v>133</v>
      </c>
      <c r="B269" s="1" t="str">
        <f>IFERROR(__xludf.DUMMYFUNCTION("GOOGLETRANSLATE(A195, ""zh-CN"", ""en"")"),"Shanxi Province")</f>
        <v>Shanxi Province</v>
      </c>
      <c r="C269" s="1" t="s">
        <v>144</v>
      </c>
      <c r="D269" s="1" t="str">
        <f>IFERROR(__xludf.DUMMYFUNCTION("GOOGLETRANSLATE(C269, ""zh-CN"", ""en"")"),"Luliang City")</f>
        <v>Luliang City</v>
      </c>
      <c r="E269" s="1" t="s">
        <v>262</v>
      </c>
      <c r="F269" s="1" t="str">
        <f>IFERROR(__xludf.DUMMYFUNCTION("GOOGLETRANSLATE(E269, ""zh-CN"", ""en"")"),"Zhongyang County")</f>
        <v>Zhongyang County</v>
      </c>
      <c r="G269" s="1">
        <v>1.41129E11</v>
      </c>
    </row>
    <row r="270">
      <c r="A270" s="1" t="s">
        <v>133</v>
      </c>
      <c r="B270" s="1" t="str">
        <f>IFERROR(__xludf.DUMMYFUNCTION("GOOGLETRANSLATE(A196, ""zh-CN"", ""en"")"),"Shanxi Province")</f>
        <v>Shanxi Province</v>
      </c>
      <c r="C270" s="1" t="s">
        <v>144</v>
      </c>
      <c r="D270" s="1" t="str">
        <f>IFERROR(__xludf.DUMMYFUNCTION("GOOGLETRANSLATE(C270, ""zh-CN"", ""en"")"),"Luliang City")</f>
        <v>Luliang City</v>
      </c>
      <c r="E270" s="1" t="s">
        <v>263</v>
      </c>
      <c r="F270" s="1" t="str">
        <f>IFERROR(__xludf.DUMMYFUNCTION("GOOGLETRANSLATE(E270, ""zh-CN"", ""en"")"),"Jiakou County")</f>
        <v>Jiakou County</v>
      </c>
      <c r="G270" s="1">
        <v>1.4113E11</v>
      </c>
    </row>
    <row r="271">
      <c r="A271" s="1" t="s">
        <v>133</v>
      </c>
      <c r="B271" s="1" t="str">
        <f>IFERROR(__xludf.DUMMYFUNCTION("GOOGLETRANSLATE(A197, ""zh-CN"", ""en"")"),"Shanxi Province")</f>
        <v>Shanxi Province</v>
      </c>
      <c r="C271" s="1" t="s">
        <v>144</v>
      </c>
      <c r="D271" s="1" t="str">
        <f>IFERROR(__xludf.DUMMYFUNCTION("GOOGLETRANSLATE(C271, ""zh-CN"", ""en"")"),"Luliang City")</f>
        <v>Luliang City</v>
      </c>
      <c r="E271" s="1" t="s">
        <v>264</v>
      </c>
      <c r="F271" s="1" t="str">
        <f>IFERROR(__xludf.DUMMYFUNCTION("GOOGLETRANSLATE(E271, ""zh-CN"", ""en"")"),"Xiaoyi City")</f>
        <v>Xiaoyi City</v>
      </c>
      <c r="G271" s="1">
        <v>1.41181E11</v>
      </c>
    </row>
    <row r="272">
      <c r="A272" s="1" t="s">
        <v>133</v>
      </c>
      <c r="B272" s="1" t="str">
        <f>IFERROR(__xludf.DUMMYFUNCTION("GOOGLETRANSLATE(A198, ""zh-CN"", ""en"")"),"Shanxi Province")</f>
        <v>Shanxi Province</v>
      </c>
      <c r="C272" s="1" t="s">
        <v>144</v>
      </c>
      <c r="D272" s="1" t="str">
        <f>IFERROR(__xludf.DUMMYFUNCTION("GOOGLETRANSLATE(C272, ""zh-CN"", ""en"")"),"Luliang City")</f>
        <v>Luliang City</v>
      </c>
      <c r="E272" s="1" t="s">
        <v>265</v>
      </c>
      <c r="F272" s="1" t="str">
        <f>IFERROR(__xludf.DUMMYFUNCTION("GOOGLETRANSLATE(E272, ""zh-CN"", ""en"")"),"Fenyang City")</f>
        <v>Fenyang City</v>
      </c>
      <c r="G272" s="1">
        <v>1.41182E11</v>
      </c>
    </row>
    <row r="273">
      <c r="A273" s="1" t="s">
        <v>266</v>
      </c>
      <c r="B273" s="1" t="str">
        <f>IFERROR(__xludf.DUMMYFUNCTION("GOOGLETRANSLATE(A199, ""zh-CN"", ""en"")"),"Shanxi Province")</f>
        <v>Shanxi Province</v>
      </c>
      <c r="C273" s="1" t="s">
        <v>8</v>
      </c>
      <c r="D273" s="1" t="str">
        <f>IFERROR(__xludf.DUMMYFUNCTION("GOOGLETRANSLATE(C273, ""zh-CN"", ""en"")"),"Na")</f>
        <v>Na</v>
      </c>
      <c r="E273" s="1" t="s">
        <v>8</v>
      </c>
      <c r="F273" s="1" t="str">
        <f>IFERROR(__xludf.DUMMYFUNCTION("GOOGLETRANSLATE(E273, ""zh-CN"", ""en"")"),"Na")</f>
        <v>Na</v>
      </c>
      <c r="G273" s="1">
        <v>63.0</v>
      </c>
    </row>
    <row r="274">
      <c r="A274" s="1" t="s">
        <v>266</v>
      </c>
      <c r="B274" s="1" t="str">
        <f>IFERROR(__xludf.DUMMYFUNCTION("GOOGLETRANSLATE(A200, ""zh-CN"", ""en"")"),"Shanxi Province")</f>
        <v>Shanxi Province</v>
      </c>
      <c r="C274" s="1" t="s">
        <v>267</v>
      </c>
      <c r="D274" s="1" t="str">
        <f>IFERROR(__xludf.DUMMYFUNCTION("GOOGLETRANSLATE(C274, ""zh-CN"", ""en"")"),"Xining")</f>
        <v>Xining</v>
      </c>
      <c r="E274" s="1" t="s">
        <v>8</v>
      </c>
      <c r="F274" s="1" t="str">
        <f>IFERROR(__xludf.DUMMYFUNCTION("GOOGLETRANSLATE(E274, ""zh-CN"", ""en"")"),"Na")</f>
        <v>Na</v>
      </c>
      <c r="G274" s="1">
        <v>6.301E11</v>
      </c>
    </row>
    <row r="275">
      <c r="A275" s="1" t="s">
        <v>266</v>
      </c>
      <c r="B275" s="1" t="str">
        <f>IFERROR(__xludf.DUMMYFUNCTION("GOOGLETRANSLATE(A201, ""zh-CN"", ""en"")"),"Shanxi Province")</f>
        <v>Shanxi Province</v>
      </c>
      <c r="C275" s="1" t="s">
        <v>268</v>
      </c>
      <c r="D275" s="1" t="str">
        <f>IFERROR(__xludf.DUMMYFUNCTION("GOOGLETRANSLATE(C275, ""zh-CN"", ""en"")"),"Haidong City")</f>
        <v>Haidong City</v>
      </c>
      <c r="E275" s="1" t="s">
        <v>8</v>
      </c>
      <c r="F275" s="1" t="str">
        <f>IFERROR(__xludf.DUMMYFUNCTION("GOOGLETRANSLATE(E275, ""zh-CN"", ""en"")"),"Na")</f>
        <v>Na</v>
      </c>
      <c r="G275" s="1">
        <v>6.302E11</v>
      </c>
    </row>
    <row r="276">
      <c r="A276" s="1" t="s">
        <v>266</v>
      </c>
      <c r="B276" s="1" t="str">
        <f>IFERROR(__xludf.DUMMYFUNCTION("GOOGLETRANSLATE(A202, ""zh-CN"", ""en"")"),"Shanxi Province")</f>
        <v>Shanxi Province</v>
      </c>
      <c r="C276" s="1" t="s">
        <v>269</v>
      </c>
      <c r="D276" s="1" t="str">
        <f>IFERROR(__xludf.DUMMYFUNCTION("GOOGLETRANSLATE(C276, ""zh-CN"", ""en"")"),"Haibei Tibetan Autonomous Prefecture")</f>
        <v>Haibei Tibetan Autonomous Prefecture</v>
      </c>
      <c r="E276" s="1" t="s">
        <v>8</v>
      </c>
      <c r="F276" s="1" t="str">
        <f>IFERROR(__xludf.DUMMYFUNCTION("GOOGLETRANSLATE(E276, ""zh-CN"", ""en"")"),"Na")</f>
        <v>Na</v>
      </c>
      <c r="G276" s="1">
        <v>6.322E11</v>
      </c>
    </row>
    <row r="277">
      <c r="A277" s="1" t="s">
        <v>266</v>
      </c>
      <c r="B277" s="1" t="str">
        <f>IFERROR(__xludf.DUMMYFUNCTION("GOOGLETRANSLATE(A203, ""zh-CN"", ""en"")"),"Shanxi Province")</f>
        <v>Shanxi Province</v>
      </c>
      <c r="C277" s="1" t="s">
        <v>270</v>
      </c>
      <c r="D277" s="1" t="str">
        <f>IFERROR(__xludf.DUMMYFUNCTION("GOOGLETRANSLATE(C277, ""zh-CN"", ""en"")"),"Huangnan Tibetan Autonomous Prefecture")</f>
        <v>Huangnan Tibetan Autonomous Prefecture</v>
      </c>
      <c r="E277" s="1" t="s">
        <v>8</v>
      </c>
      <c r="F277" s="1" t="str">
        <f>IFERROR(__xludf.DUMMYFUNCTION("GOOGLETRANSLATE(E277, ""zh-CN"", ""en"")"),"Na")</f>
        <v>Na</v>
      </c>
      <c r="G277" s="1">
        <v>6.323E11</v>
      </c>
    </row>
    <row r="278">
      <c r="A278" s="1" t="s">
        <v>266</v>
      </c>
      <c r="B278" s="1" t="str">
        <f>IFERROR(__xludf.DUMMYFUNCTION("GOOGLETRANSLATE(A204, ""zh-CN"", ""en"")"),"Shanxi Province")</f>
        <v>Shanxi Province</v>
      </c>
      <c r="C278" s="1" t="s">
        <v>271</v>
      </c>
      <c r="D278" s="1" t="str">
        <f>IFERROR(__xludf.DUMMYFUNCTION("GOOGLETRANSLATE(C278, ""zh-CN"", ""en"")"),"Hainan Tibetan Autonomous Prefecture")</f>
        <v>Hainan Tibetan Autonomous Prefecture</v>
      </c>
      <c r="E278" s="1" t="s">
        <v>8</v>
      </c>
      <c r="F278" s="1" t="str">
        <f>IFERROR(__xludf.DUMMYFUNCTION("GOOGLETRANSLATE(E278, ""zh-CN"", ""en"")"),"Na")</f>
        <v>Na</v>
      </c>
      <c r="G278" s="1">
        <v>6.325E11</v>
      </c>
    </row>
    <row r="279">
      <c r="A279" s="1" t="s">
        <v>266</v>
      </c>
      <c r="B279" s="1" t="str">
        <f>IFERROR(__xludf.DUMMYFUNCTION("GOOGLETRANSLATE(A205, ""zh-CN"", ""en"")"),"Shanxi Province")</f>
        <v>Shanxi Province</v>
      </c>
      <c r="C279" s="1" t="s">
        <v>272</v>
      </c>
      <c r="D279" s="1" t="str">
        <f>IFERROR(__xludf.DUMMYFUNCTION("GOOGLETRANSLATE(C279, ""zh-CN"", ""en"")"),"Guoluo Tibetan Autonomous Prefecture")</f>
        <v>Guoluo Tibetan Autonomous Prefecture</v>
      </c>
      <c r="E279" s="1" t="s">
        <v>8</v>
      </c>
      <c r="F279" s="1" t="str">
        <f>IFERROR(__xludf.DUMMYFUNCTION("GOOGLETRANSLATE(E279, ""zh-CN"", ""en"")"),"Na")</f>
        <v>Na</v>
      </c>
      <c r="G279" s="1">
        <v>6.326E11</v>
      </c>
    </row>
    <row r="280">
      <c r="A280" s="1" t="s">
        <v>266</v>
      </c>
      <c r="B280" s="1" t="str">
        <f>IFERROR(__xludf.DUMMYFUNCTION("GOOGLETRANSLATE(A206, ""zh-CN"", ""en"")"),"Shanxi Province")</f>
        <v>Shanxi Province</v>
      </c>
      <c r="C280" s="1" t="s">
        <v>273</v>
      </c>
      <c r="D280" s="1" t="str">
        <f>IFERROR(__xludf.DUMMYFUNCTION("GOOGLETRANSLATE(C280, ""zh-CN"", ""en"")"),"Yushu Tibetan Autonomous Prefecture")</f>
        <v>Yushu Tibetan Autonomous Prefecture</v>
      </c>
      <c r="E280" s="1" t="s">
        <v>8</v>
      </c>
      <c r="F280" s="1" t="str">
        <f>IFERROR(__xludf.DUMMYFUNCTION("GOOGLETRANSLATE(E280, ""zh-CN"", ""en"")"),"Na")</f>
        <v>Na</v>
      </c>
      <c r="G280" s="1">
        <v>6.327E11</v>
      </c>
    </row>
    <row r="281">
      <c r="A281" s="1" t="s">
        <v>266</v>
      </c>
      <c r="B281" s="1" t="str">
        <f>IFERROR(__xludf.DUMMYFUNCTION("GOOGLETRANSLATE(A207, ""zh-CN"", ""en"")"),"Shanxi Province")</f>
        <v>Shanxi Province</v>
      </c>
      <c r="C281" s="1" t="s">
        <v>274</v>
      </c>
      <c r="D281" s="1" t="str">
        <f>IFERROR(__xludf.DUMMYFUNCTION("GOOGLETRANSLATE(C281, ""zh-CN"", ""en"")"),"Haixi Mongolian Tibetan Autonomous Prefecture")</f>
        <v>Haixi Mongolian Tibetan Autonomous Prefecture</v>
      </c>
      <c r="E281" s="1" t="s">
        <v>8</v>
      </c>
      <c r="F281" s="1" t="str">
        <f>IFERROR(__xludf.DUMMYFUNCTION("GOOGLETRANSLATE(E281, ""zh-CN"", ""en"")"),"Na")</f>
        <v>Na</v>
      </c>
      <c r="G281" s="1">
        <v>6.328E11</v>
      </c>
    </row>
    <row r="282">
      <c r="A282" s="1" t="s">
        <v>266</v>
      </c>
      <c r="B282" s="1" t="str">
        <f>IFERROR(__xludf.DUMMYFUNCTION("GOOGLETRANSLATE(A208, ""zh-CN"", ""en"")"),"Shanxi Province")</f>
        <v>Shanxi Province</v>
      </c>
      <c r="C282" s="1" t="s">
        <v>267</v>
      </c>
      <c r="D282" s="1" t="str">
        <f>IFERROR(__xludf.DUMMYFUNCTION("GOOGLETRANSLATE(C282, ""zh-CN"", ""en"")"),"Xining")</f>
        <v>Xining</v>
      </c>
      <c r="E282" s="1" t="s">
        <v>24</v>
      </c>
      <c r="F282" s="1" t="str">
        <f>IFERROR(__xludf.DUMMYFUNCTION("GOOGLETRANSLATE(E282, ""zh-CN"", ""en"")"),"City area")</f>
        <v>City area</v>
      </c>
      <c r="G282" s="1">
        <v>6.30101E11</v>
      </c>
    </row>
    <row r="283">
      <c r="A283" s="1" t="s">
        <v>266</v>
      </c>
      <c r="B283" s="1" t="str">
        <f>IFERROR(__xludf.DUMMYFUNCTION("GOOGLETRANSLATE(A209, ""zh-CN"", ""en"")"),"Shanxi Province")</f>
        <v>Shanxi Province</v>
      </c>
      <c r="C283" s="1" t="s">
        <v>267</v>
      </c>
      <c r="D283" s="1" t="str">
        <f>IFERROR(__xludf.DUMMYFUNCTION("GOOGLETRANSLATE(C283, ""zh-CN"", ""en"")"),"Xining")</f>
        <v>Xining</v>
      </c>
      <c r="E283" s="1" t="s">
        <v>275</v>
      </c>
      <c r="F283" s="1" t="str">
        <f>IFERROR(__xludf.DUMMYFUNCTION("GOOGLETRANSLATE(E283, ""zh-CN"", ""en"")"),"East")</f>
        <v>East</v>
      </c>
      <c r="G283" s="1">
        <v>6.30102E11</v>
      </c>
    </row>
    <row r="284">
      <c r="A284" s="1" t="s">
        <v>266</v>
      </c>
      <c r="B284" s="1" t="str">
        <f>IFERROR(__xludf.DUMMYFUNCTION("GOOGLETRANSLATE(A210, ""zh-CN"", ""en"")"),"Shanxi Province")</f>
        <v>Shanxi Province</v>
      </c>
      <c r="C284" s="1" t="s">
        <v>267</v>
      </c>
      <c r="D284" s="1" t="str">
        <f>IFERROR(__xludf.DUMMYFUNCTION("GOOGLETRANSLATE(C284, ""zh-CN"", ""en"")"),"Xining")</f>
        <v>Xining</v>
      </c>
      <c r="E284" s="1" t="s">
        <v>276</v>
      </c>
      <c r="F284" s="1" t="str">
        <f>IFERROR(__xludf.DUMMYFUNCTION("GOOGLETRANSLATE(E284, ""zh-CN"", ""en"")"),"District")</f>
        <v>District</v>
      </c>
      <c r="G284" s="1">
        <v>6.30103E11</v>
      </c>
    </row>
    <row r="285">
      <c r="A285" s="1" t="s">
        <v>266</v>
      </c>
      <c r="B285" s="1" t="str">
        <f>IFERROR(__xludf.DUMMYFUNCTION("GOOGLETRANSLATE(A211, ""zh-CN"", ""en"")"),"Shanxi Province")</f>
        <v>Shanxi Province</v>
      </c>
      <c r="C285" s="1" t="s">
        <v>267</v>
      </c>
      <c r="D285" s="1" t="str">
        <f>IFERROR(__xludf.DUMMYFUNCTION("GOOGLETRANSLATE(C285, ""zh-CN"", ""en"")"),"Xining")</f>
        <v>Xining</v>
      </c>
      <c r="E285" s="1" t="s">
        <v>277</v>
      </c>
      <c r="F285" s="1" t="str">
        <f>IFERROR(__xludf.DUMMYFUNCTION("GOOGLETRANSLATE(E285, ""zh-CN"", ""en"")"),"Western area")</f>
        <v>Western area</v>
      </c>
      <c r="G285" s="1">
        <v>6.30104E11</v>
      </c>
    </row>
    <row r="286">
      <c r="A286" s="1" t="s">
        <v>266</v>
      </c>
      <c r="B286" s="1" t="str">
        <f>IFERROR(__xludf.DUMMYFUNCTION("GOOGLETRANSLATE(A212, ""zh-CN"", ""en"")"),"Shanxi Province")</f>
        <v>Shanxi Province</v>
      </c>
      <c r="C286" s="1" t="s">
        <v>267</v>
      </c>
      <c r="D286" s="1" t="str">
        <f>IFERROR(__xludf.DUMMYFUNCTION("GOOGLETRANSLATE(C286, ""zh-CN"", ""en"")"),"Xining")</f>
        <v>Xining</v>
      </c>
      <c r="E286" s="1" t="s">
        <v>278</v>
      </c>
      <c r="F286" s="1" t="str">
        <f>IFERROR(__xludf.DUMMYFUNCTION("GOOGLETRANSLATE(E286, ""zh-CN"", ""en"")"),"North of the city")</f>
        <v>North of the city</v>
      </c>
      <c r="G286" s="1">
        <v>6.30105E11</v>
      </c>
    </row>
    <row r="287">
      <c r="A287" s="1" t="s">
        <v>266</v>
      </c>
      <c r="B287" s="1" t="str">
        <f>IFERROR(__xludf.DUMMYFUNCTION("GOOGLETRANSLATE(A213, ""zh-CN"", ""en"")"),"Shanxi Province")</f>
        <v>Shanxi Province</v>
      </c>
      <c r="C287" s="1" t="s">
        <v>267</v>
      </c>
      <c r="D287" s="1" t="str">
        <f>IFERROR(__xludf.DUMMYFUNCTION("GOOGLETRANSLATE(C287, ""zh-CN"", ""en"")"),"Xining")</f>
        <v>Xining</v>
      </c>
      <c r="E287" s="1" t="s">
        <v>279</v>
      </c>
      <c r="F287" s="1" t="str">
        <f>IFERROR(__xludf.DUMMYFUNCTION("GOOGLETRANSLATE(E287, ""zh-CN"", ""en"")"),"Langzhong District")</f>
        <v>Langzhong District</v>
      </c>
      <c r="G287" s="1">
        <v>6.30106E11</v>
      </c>
    </row>
    <row r="288">
      <c r="A288" s="1" t="s">
        <v>266</v>
      </c>
      <c r="B288" s="1" t="str">
        <f>IFERROR(__xludf.DUMMYFUNCTION("GOOGLETRANSLATE(A214, ""zh-CN"", ""en"")"),"Shanxi Province")</f>
        <v>Shanxi Province</v>
      </c>
      <c r="C288" s="1" t="s">
        <v>267</v>
      </c>
      <c r="D288" s="1" t="str">
        <f>IFERROR(__xludf.DUMMYFUNCTION("GOOGLETRANSLATE(C288, ""zh-CN"", ""en"")"),"Xining")</f>
        <v>Xining</v>
      </c>
      <c r="E288" s="1" t="s">
        <v>280</v>
      </c>
      <c r="F288" s="1" t="str">
        <f>IFERROR(__xludf.DUMMYFUNCTION("GOOGLETRANSLATE(E288, ""zh-CN"", ""en"")"),"Datong Hui Tuju Autonomous County")</f>
        <v>Datong Hui Tuju Autonomous County</v>
      </c>
      <c r="G288" s="1">
        <v>6.30121E11</v>
      </c>
    </row>
    <row r="289">
      <c r="A289" s="1" t="s">
        <v>266</v>
      </c>
      <c r="B289" s="1" t="str">
        <f>IFERROR(__xludf.DUMMYFUNCTION("GOOGLETRANSLATE(A215, ""zh-CN"", ""en"")"),"Shanxi Province")</f>
        <v>Shanxi Province</v>
      </c>
      <c r="C289" s="1" t="s">
        <v>267</v>
      </c>
      <c r="D289" s="1" t="str">
        <f>IFERROR(__xludf.DUMMYFUNCTION("GOOGLETRANSLATE(C289, ""zh-CN"", ""en"")"),"Xining")</f>
        <v>Xining</v>
      </c>
      <c r="E289" s="1" t="s">
        <v>281</v>
      </c>
      <c r="F289" s="1" t="str">
        <f>IFERROR(__xludf.DUMMYFUNCTION("GOOGLETRANSLATE(E289, ""zh-CN"", ""en"")"),"Yiyuan County")</f>
        <v>Yiyuan County</v>
      </c>
      <c r="G289" s="1">
        <v>6.30123E11</v>
      </c>
    </row>
    <row r="290">
      <c r="A290" s="1" t="s">
        <v>266</v>
      </c>
      <c r="B290" s="1" t="str">
        <f>IFERROR(__xludf.DUMMYFUNCTION("GOOGLETRANSLATE(A216, ""zh-CN"", ""en"")"),"Shanxi Province")</f>
        <v>Shanxi Province</v>
      </c>
      <c r="C290" s="1" t="s">
        <v>268</v>
      </c>
      <c r="D290" s="1" t="str">
        <f>IFERROR(__xludf.DUMMYFUNCTION("GOOGLETRANSLATE(C290, ""zh-CN"", ""en"")"),"Haidong City")</f>
        <v>Haidong City</v>
      </c>
      <c r="E290" s="1" t="s">
        <v>282</v>
      </c>
      <c r="F290" s="1" t="str">
        <f>IFERROR(__xludf.DUMMYFUNCTION("GOOGLETRANSLATE(E290, ""zh-CN"", ""en"")"),"Ledu District")</f>
        <v>Ledu District</v>
      </c>
      <c r="G290" s="1">
        <v>6.30202E11</v>
      </c>
    </row>
    <row r="291">
      <c r="A291" s="1" t="s">
        <v>266</v>
      </c>
      <c r="B291" s="1" t="str">
        <f>IFERROR(__xludf.DUMMYFUNCTION("GOOGLETRANSLATE(A217, ""zh-CN"", ""en"")"),"Shanxi Province")</f>
        <v>Shanxi Province</v>
      </c>
      <c r="C291" s="1" t="s">
        <v>268</v>
      </c>
      <c r="D291" s="1" t="str">
        <f>IFERROR(__xludf.DUMMYFUNCTION("GOOGLETRANSLATE(C291, ""zh-CN"", ""en"")"),"Haidong City")</f>
        <v>Haidong City</v>
      </c>
      <c r="E291" s="1" t="s">
        <v>283</v>
      </c>
      <c r="F291" s="1" t="str">
        <f>IFERROR(__xludf.DUMMYFUNCTION("GOOGLETRANSLATE(E291, ""zh-CN"", ""en"")"),"Safe area")</f>
        <v>Safe area</v>
      </c>
      <c r="G291" s="1">
        <v>6.30203E11</v>
      </c>
    </row>
    <row r="292">
      <c r="A292" s="1" t="s">
        <v>266</v>
      </c>
      <c r="B292" s="1" t="str">
        <f>IFERROR(__xludf.DUMMYFUNCTION("GOOGLETRANSLATE(A218, ""zh-CN"", ""en"")"),"Shanxi Province")</f>
        <v>Shanxi Province</v>
      </c>
      <c r="C292" s="1" t="s">
        <v>268</v>
      </c>
      <c r="D292" s="1" t="str">
        <f>IFERROR(__xludf.DUMMYFUNCTION("GOOGLETRANSLATE(C292, ""zh-CN"", ""en"")"),"Haidong City")</f>
        <v>Haidong City</v>
      </c>
      <c r="E292" s="1" t="s">
        <v>284</v>
      </c>
      <c r="F292" s="1" t="str">
        <f>IFERROR(__xludf.DUMMYFUNCTION("GOOGLETRANSLATE(E292, ""zh-CN"", ""en"")"),"Minhe Hui Ethnic Tuju Autonomous County")</f>
        <v>Minhe Hui Ethnic Tuju Autonomous County</v>
      </c>
      <c r="G292" s="1">
        <v>6.30222E11</v>
      </c>
    </row>
    <row r="293">
      <c r="A293" s="1" t="s">
        <v>266</v>
      </c>
      <c r="B293" s="1" t="str">
        <f>IFERROR(__xludf.DUMMYFUNCTION("GOOGLETRANSLATE(A219, ""zh-CN"", ""en"")"),"Shanxi Province")</f>
        <v>Shanxi Province</v>
      </c>
      <c r="C293" s="1" t="s">
        <v>268</v>
      </c>
      <c r="D293" s="1" t="str">
        <f>IFERROR(__xludf.DUMMYFUNCTION("GOOGLETRANSLATE(C293, ""zh-CN"", ""en"")"),"Haidong City")</f>
        <v>Haidong City</v>
      </c>
      <c r="E293" s="1" t="s">
        <v>285</v>
      </c>
      <c r="F293" s="1" t="str">
        <f>IFERROR(__xludf.DUMMYFUNCTION("GOOGLETRANSLATE(E293, ""zh-CN"", ""en"")"),"Mutual Aid Turkic Autonomous County")</f>
        <v>Mutual Aid Turkic Autonomous County</v>
      </c>
      <c r="G293" s="1">
        <v>6.30223E11</v>
      </c>
    </row>
    <row r="294">
      <c r="A294" s="1" t="s">
        <v>266</v>
      </c>
      <c r="B294" s="1" t="str">
        <f>IFERROR(__xludf.DUMMYFUNCTION("GOOGLETRANSLATE(A220, ""zh-CN"", ""en"")"),"Shanxi Province")</f>
        <v>Shanxi Province</v>
      </c>
      <c r="C294" s="1" t="s">
        <v>268</v>
      </c>
      <c r="D294" s="1" t="str">
        <f>IFERROR(__xludf.DUMMYFUNCTION("GOOGLETRANSLATE(C294, ""zh-CN"", ""en"")"),"Haidong City")</f>
        <v>Haidong City</v>
      </c>
      <c r="E294" s="1" t="s">
        <v>286</v>
      </c>
      <c r="F294" s="1" t="str">
        <f>IFERROR(__xludf.DUMMYFUNCTION("GOOGLETRANSLATE(E294, ""zh-CN"", ""en"")"),"Hua Long Hui Autonomous County")</f>
        <v>Hua Long Hui Autonomous County</v>
      </c>
      <c r="G294" s="1">
        <v>6.30224E11</v>
      </c>
    </row>
    <row r="295">
      <c r="A295" s="1" t="s">
        <v>266</v>
      </c>
      <c r="B295" s="1" t="str">
        <f>IFERROR(__xludf.DUMMYFUNCTION("GOOGLETRANSLATE(A221, ""zh-CN"", ""en"")"),"Shanxi Province")</f>
        <v>Shanxi Province</v>
      </c>
      <c r="C295" s="1" t="s">
        <v>268</v>
      </c>
      <c r="D295" s="1" t="str">
        <f>IFERROR(__xludf.DUMMYFUNCTION("GOOGLETRANSLATE(C295, ""zh-CN"", ""en"")"),"Haidong City")</f>
        <v>Haidong City</v>
      </c>
      <c r="E295" s="1" t="s">
        <v>287</v>
      </c>
      <c r="F295" s="1" t="str">
        <f>IFERROR(__xludf.DUMMYFUNCTION("GOOGLETRANSLATE(E295, ""zh-CN"", ""en"")"),"Xunhua Sarah Autonomous County")</f>
        <v>Xunhua Sarah Autonomous County</v>
      </c>
      <c r="G295" s="1">
        <v>6.30225E11</v>
      </c>
    </row>
    <row r="296">
      <c r="A296" s="1" t="s">
        <v>266</v>
      </c>
      <c r="B296" s="1" t="str">
        <f>IFERROR(__xludf.DUMMYFUNCTION("GOOGLETRANSLATE(A222, ""zh-CN"", ""en"")"),"Shanxi Province")</f>
        <v>Shanxi Province</v>
      </c>
      <c r="C296" s="1" t="s">
        <v>269</v>
      </c>
      <c r="D296" s="1" t="str">
        <f>IFERROR(__xludf.DUMMYFUNCTION("GOOGLETRANSLATE(C296, ""zh-CN"", ""en"")"),"Haibei Tibetan Autonomous Prefecture")</f>
        <v>Haibei Tibetan Autonomous Prefecture</v>
      </c>
      <c r="E296" s="1" t="s">
        <v>288</v>
      </c>
      <c r="F296" s="1" t="str">
        <f>IFERROR(__xludf.DUMMYFUNCTION("GOOGLETRANSLATE(E296, ""zh-CN"", ""en"")"),"Menyuan Hui Autonomous County")</f>
        <v>Menyuan Hui Autonomous County</v>
      </c>
      <c r="G296" s="1">
        <v>6.32221E11</v>
      </c>
    </row>
    <row r="297">
      <c r="A297" s="1" t="s">
        <v>266</v>
      </c>
      <c r="B297" s="1" t="str">
        <f>IFERROR(__xludf.DUMMYFUNCTION("GOOGLETRANSLATE(A223, ""zh-CN"", ""en"")"),"Shanxi Province")</f>
        <v>Shanxi Province</v>
      </c>
      <c r="C297" s="1" t="s">
        <v>269</v>
      </c>
      <c r="D297" s="1" t="str">
        <f>IFERROR(__xludf.DUMMYFUNCTION("GOOGLETRANSLATE(C297, ""zh-CN"", ""en"")"),"Haibei Tibetan Autonomous Prefecture")</f>
        <v>Haibei Tibetan Autonomous Prefecture</v>
      </c>
      <c r="E297" s="1" t="s">
        <v>289</v>
      </c>
      <c r="F297" s="1" t="str">
        <f>IFERROR(__xludf.DUMMYFUNCTION("GOOGLETRANSLATE(E297, ""zh-CN"", ""en"")"),"Qilian County")</f>
        <v>Qilian County</v>
      </c>
      <c r="G297" s="1">
        <v>6.32222E11</v>
      </c>
    </row>
    <row r="298">
      <c r="A298" s="1" t="s">
        <v>266</v>
      </c>
      <c r="B298" s="1" t="str">
        <f>IFERROR(__xludf.DUMMYFUNCTION("GOOGLETRANSLATE(A224, ""zh-CN"", ""en"")"),"Shanxi Province")</f>
        <v>Shanxi Province</v>
      </c>
      <c r="C298" s="1" t="s">
        <v>269</v>
      </c>
      <c r="D298" s="1" t="str">
        <f>IFERROR(__xludf.DUMMYFUNCTION("GOOGLETRANSLATE(C298, ""zh-CN"", ""en"")"),"Haibei Tibetan Autonomous Prefecture")</f>
        <v>Haibei Tibetan Autonomous Prefecture</v>
      </c>
      <c r="E298" s="1" t="s">
        <v>290</v>
      </c>
      <c r="F298" s="1" t="str">
        <f>IFERROR(__xludf.DUMMYFUNCTION("GOOGLETRANSLATE(E298, ""zh-CN"", ""en"")"),"Haiyan County")</f>
        <v>Haiyan County</v>
      </c>
      <c r="G298" s="1">
        <v>6.32223E11</v>
      </c>
    </row>
    <row r="299">
      <c r="A299" s="1" t="s">
        <v>266</v>
      </c>
      <c r="B299" s="1" t="str">
        <f>IFERROR(__xludf.DUMMYFUNCTION("GOOGLETRANSLATE(A225, ""zh-CN"", ""en"")"),"Shanxi Province")</f>
        <v>Shanxi Province</v>
      </c>
      <c r="C299" s="1" t="s">
        <v>269</v>
      </c>
      <c r="D299" s="1" t="str">
        <f>IFERROR(__xludf.DUMMYFUNCTION("GOOGLETRANSLATE(C299, ""zh-CN"", ""en"")"),"Haibei Tibetan Autonomous Prefecture")</f>
        <v>Haibei Tibetan Autonomous Prefecture</v>
      </c>
      <c r="E299" s="1" t="s">
        <v>291</v>
      </c>
      <c r="F299" s="1" t="str">
        <f>IFERROR(__xludf.DUMMYFUNCTION("GOOGLETRANSLATE(E299, ""zh-CN"", ""en"")"),"Gangcha County")</f>
        <v>Gangcha County</v>
      </c>
      <c r="G299" s="1">
        <v>6.32224E11</v>
      </c>
    </row>
    <row r="300">
      <c r="A300" s="1" t="s">
        <v>266</v>
      </c>
      <c r="B300" s="1" t="str">
        <f>IFERROR(__xludf.DUMMYFUNCTION("GOOGLETRANSLATE(A226, ""zh-CN"", ""en"")"),"Shanxi Province")</f>
        <v>Shanxi Province</v>
      </c>
      <c r="C300" s="1" t="s">
        <v>270</v>
      </c>
      <c r="D300" s="1" t="str">
        <f>IFERROR(__xludf.DUMMYFUNCTION("GOOGLETRANSLATE(C300, ""zh-CN"", ""en"")"),"Huangnan Tibetan Autonomous Prefecture")</f>
        <v>Huangnan Tibetan Autonomous Prefecture</v>
      </c>
      <c r="E300" s="1" t="s">
        <v>292</v>
      </c>
      <c r="F300" s="1" t="str">
        <f>IFERROR(__xludf.DUMMYFUNCTION("GOOGLETRANSLATE(E300, ""zh-CN"", ""en"")"),"Colleagues")</f>
        <v>Colleagues</v>
      </c>
      <c r="G300" s="1">
        <v>6.32301E11</v>
      </c>
    </row>
    <row r="301">
      <c r="A301" s="1" t="s">
        <v>266</v>
      </c>
      <c r="B301" s="1" t="str">
        <f>IFERROR(__xludf.DUMMYFUNCTION("GOOGLETRANSLATE(A227, ""zh-CN"", ""en"")"),"Shanxi Province")</f>
        <v>Shanxi Province</v>
      </c>
      <c r="C301" s="1" t="s">
        <v>270</v>
      </c>
      <c r="D301" s="1" t="str">
        <f>IFERROR(__xludf.DUMMYFUNCTION("GOOGLETRANSLATE(C301, ""zh-CN"", ""en"")"),"Huangnan Tibetan Autonomous Prefecture")</f>
        <v>Huangnan Tibetan Autonomous Prefecture</v>
      </c>
      <c r="E301" s="1" t="s">
        <v>293</v>
      </c>
      <c r="F301" s="1" t="str">
        <f>IFERROR(__xludf.DUMMYFUNCTION("GOOGLETRANSLATE(E301, ""zh-CN"", ""en"")"),"Sinaita Prefecture")</f>
        <v>Sinaita Prefecture</v>
      </c>
      <c r="G301" s="1">
        <v>6.32322E11</v>
      </c>
    </row>
    <row r="302">
      <c r="A302" s="1" t="s">
        <v>266</v>
      </c>
      <c r="B302" s="1" t="str">
        <f>IFERROR(__xludf.DUMMYFUNCTION("GOOGLETRANSLATE(A228, ""zh-CN"", ""en"")"),"Shanxi Province")</f>
        <v>Shanxi Province</v>
      </c>
      <c r="C302" s="1" t="s">
        <v>270</v>
      </c>
      <c r="D302" s="1" t="str">
        <f>IFERROR(__xludf.DUMMYFUNCTION("GOOGLETRANSLATE(C302, ""zh-CN"", ""en"")"),"Huangnan Tibetan Autonomous Prefecture")</f>
        <v>Huangnan Tibetan Autonomous Prefecture</v>
      </c>
      <c r="E302" s="1" t="s">
        <v>294</v>
      </c>
      <c r="F302" s="1" t="str">
        <f>IFERROR(__xludf.DUMMYFUNCTION("GOOGLETRANSLATE(E302, ""zh-CN"", ""en"")"),"Zeku County")</f>
        <v>Zeku County</v>
      </c>
      <c r="G302" s="1">
        <v>6.32323E11</v>
      </c>
    </row>
    <row r="303">
      <c r="A303" s="1" t="s">
        <v>266</v>
      </c>
      <c r="B303" s="1" t="str">
        <f>IFERROR(__xludf.DUMMYFUNCTION("GOOGLETRANSLATE(A229, ""zh-CN"", ""en"")"),"Shanxi Province")</f>
        <v>Shanxi Province</v>
      </c>
      <c r="C303" s="1" t="s">
        <v>270</v>
      </c>
      <c r="D303" s="1" t="str">
        <f>IFERROR(__xludf.DUMMYFUNCTION("GOOGLETRANSLATE(C303, ""zh-CN"", ""en"")"),"Huangnan Tibetan Autonomous Prefecture")</f>
        <v>Huangnan Tibetan Autonomous Prefecture</v>
      </c>
      <c r="E303" s="1" t="s">
        <v>295</v>
      </c>
      <c r="F303" s="1" t="str">
        <f>IFERROR(__xludf.DUMMYFUNCTION("GOOGLETRANSLATE(E303, ""zh-CN"", ""en"")"),"Henan Mongolian Autonomous County")</f>
        <v>Henan Mongolian Autonomous County</v>
      </c>
      <c r="G303" s="1">
        <v>6.32324E11</v>
      </c>
    </row>
    <row r="304">
      <c r="A304" s="1" t="s">
        <v>266</v>
      </c>
      <c r="B304" s="1" t="str">
        <f>IFERROR(__xludf.DUMMYFUNCTION("GOOGLETRANSLATE(A230, ""zh-CN"", ""en"")"),"Shanxi Province")</f>
        <v>Shanxi Province</v>
      </c>
      <c r="C304" s="1" t="s">
        <v>271</v>
      </c>
      <c r="D304" s="1" t="str">
        <f>IFERROR(__xludf.DUMMYFUNCTION("GOOGLETRANSLATE(C304, ""zh-CN"", ""en"")"),"Hainan Tibetan Autonomous Prefecture")</f>
        <v>Hainan Tibetan Autonomous Prefecture</v>
      </c>
      <c r="E304" s="1" t="s">
        <v>296</v>
      </c>
      <c r="F304" s="1" t="str">
        <f>IFERROR(__xludf.DUMMYFUNCTION("GOOGLETRANSLATE(E304, ""zh-CN"", ""en"")"),"Republican County")</f>
        <v>Republican County</v>
      </c>
      <c r="G304" s="1">
        <v>6.32521E11</v>
      </c>
    </row>
    <row r="305">
      <c r="A305" s="1" t="s">
        <v>266</v>
      </c>
      <c r="B305" s="1" t="str">
        <f>IFERROR(__xludf.DUMMYFUNCTION("GOOGLETRANSLATE(A231, ""zh-CN"", ""en"")"),"Shanxi Province")</f>
        <v>Shanxi Province</v>
      </c>
      <c r="C305" s="1" t="s">
        <v>271</v>
      </c>
      <c r="D305" s="1" t="str">
        <f>IFERROR(__xludf.DUMMYFUNCTION("GOOGLETRANSLATE(C305, ""zh-CN"", ""en"")"),"Hainan Tibetan Autonomous Prefecture")</f>
        <v>Hainan Tibetan Autonomous Prefecture</v>
      </c>
      <c r="E305" s="1" t="s">
        <v>297</v>
      </c>
      <c r="F305" s="1" t="str">
        <f>IFERROR(__xludf.DUMMYFUNCTION("GOOGLETRANSLATE(E305, ""zh-CN"", ""en"")"),"Tongde County")</f>
        <v>Tongde County</v>
      </c>
      <c r="G305" s="1">
        <v>6.32522E11</v>
      </c>
    </row>
    <row r="306">
      <c r="A306" s="1" t="s">
        <v>266</v>
      </c>
      <c r="B306" s="1" t="str">
        <f>IFERROR(__xludf.DUMMYFUNCTION("GOOGLETRANSLATE(A232, ""zh-CN"", ""en"")"),"Shanxi Province")</f>
        <v>Shanxi Province</v>
      </c>
      <c r="C306" s="1" t="s">
        <v>271</v>
      </c>
      <c r="D306" s="1" t="str">
        <f>IFERROR(__xludf.DUMMYFUNCTION("GOOGLETRANSLATE(C306, ""zh-CN"", ""en"")"),"Hainan Tibetan Autonomous Prefecture")</f>
        <v>Hainan Tibetan Autonomous Prefecture</v>
      </c>
      <c r="E306" s="1" t="s">
        <v>298</v>
      </c>
      <c r="F306" s="1" t="str">
        <f>IFERROR(__xludf.DUMMYFUNCTION("GOOGLETRANSLATE(E306, ""zh-CN"", ""en"")"),"Guide County")</f>
        <v>Guide County</v>
      </c>
      <c r="G306" s="1">
        <v>6.32523E11</v>
      </c>
    </row>
    <row r="307">
      <c r="A307" s="1" t="s">
        <v>266</v>
      </c>
      <c r="B307" s="1" t="str">
        <f>IFERROR(__xludf.DUMMYFUNCTION("GOOGLETRANSLATE(A233, ""zh-CN"", ""en"")"),"Shanxi Province")</f>
        <v>Shanxi Province</v>
      </c>
      <c r="C307" s="1" t="s">
        <v>271</v>
      </c>
      <c r="D307" s="1" t="str">
        <f>IFERROR(__xludf.DUMMYFUNCTION("GOOGLETRANSLATE(C307, ""zh-CN"", ""en"")"),"Hainan Tibetan Autonomous Prefecture")</f>
        <v>Hainan Tibetan Autonomous Prefecture</v>
      </c>
      <c r="E307" s="1" t="s">
        <v>299</v>
      </c>
      <c r="F307" s="1" t="str">
        <f>IFERROR(__xludf.DUMMYFUNCTION("GOOGLETRANSLATE(E307, ""zh-CN"", ""en"")"),"Xinghai County")</f>
        <v>Xinghai County</v>
      </c>
      <c r="G307" s="1">
        <v>6.32524E11</v>
      </c>
    </row>
    <row r="308">
      <c r="A308" s="1" t="s">
        <v>266</v>
      </c>
      <c r="B308" s="1" t="str">
        <f>IFERROR(__xludf.DUMMYFUNCTION("GOOGLETRANSLATE(A234, ""zh-CN"", ""en"")"),"Shanxi Province")</f>
        <v>Shanxi Province</v>
      </c>
      <c r="C308" s="1" t="s">
        <v>271</v>
      </c>
      <c r="D308" s="1" t="str">
        <f>IFERROR(__xludf.DUMMYFUNCTION("GOOGLETRANSLATE(C308, ""zh-CN"", ""en"")"),"Hainan Tibetan Autonomous Prefecture")</f>
        <v>Hainan Tibetan Autonomous Prefecture</v>
      </c>
      <c r="E308" s="1" t="s">
        <v>300</v>
      </c>
      <c r="F308" s="1" t="str">
        <f>IFERROR(__xludf.DUMMYFUNCTION("GOOGLETRANSLATE(E308, ""zh-CN"", ""en"")"),"Guinan County")</f>
        <v>Guinan County</v>
      </c>
      <c r="G308" s="1">
        <v>6.32525E11</v>
      </c>
    </row>
    <row r="309">
      <c r="A309" s="1" t="s">
        <v>266</v>
      </c>
      <c r="B309" s="1" t="str">
        <f>IFERROR(__xludf.DUMMYFUNCTION("GOOGLETRANSLATE(A235, ""zh-CN"", ""en"")"),"Shanxi Province")</f>
        <v>Shanxi Province</v>
      </c>
      <c r="C309" s="1" t="s">
        <v>272</v>
      </c>
      <c r="D309" s="1" t="str">
        <f>IFERROR(__xludf.DUMMYFUNCTION("GOOGLETRANSLATE(C309, ""zh-CN"", ""en"")"),"Guoluo Tibetan Autonomous Prefecture")</f>
        <v>Guoluo Tibetan Autonomous Prefecture</v>
      </c>
      <c r="E309" s="1" t="s">
        <v>301</v>
      </c>
      <c r="F309" s="1" t="str">
        <f>IFERROR(__xludf.DUMMYFUNCTION("GOOGLETRANSLATE(E309, ""zh-CN"", ""en"")"),"Maqin County")</f>
        <v>Maqin County</v>
      </c>
      <c r="G309" s="1">
        <v>6.32621E11</v>
      </c>
    </row>
    <row r="310">
      <c r="A310" s="1" t="s">
        <v>266</v>
      </c>
      <c r="B310" s="1" t="str">
        <f>IFERROR(__xludf.DUMMYFUNCTION("GOOGLETRANSLATE(A236, ""zh-CN"", ""en"")"),"Shanxi Province")</f>
        <v>Shanxi Province</v>
      </c>
      <c r="C310" s="1" t="s">
        <v>272</v>
      </c>
      <c r="D310" s="1" t="str">
        <f>IFERROR(__xludf.DUMMYFUNCTION("GOOGLETRANSLATE(C310, ""zh-CN"", ""en"")"),"Guoluo Tibetan Autonomous Prefecture")</f>
        <v>Guoluo Tibetan Autonomous Prefecture</v>
      </c>
      <c r="E310" s="1" t="s">
        <v>302</v>
      </c>
      <c r="F310" s="1" t="str">
        <f>IFERROR(__xludf.DUMMYFUNCTION("GOOGLETRANSLATE(E310, ""zh-CN"", ""en"")"),"Banma County")</f>
        <v>Banma County</v>
      </c>
      <c r="G310" s="1">
        <v>6.32622E11</v>
      </c>
    </row>
    <row r="311">
      <c r="A311" s="1" t="s">
        <v>266</v>
      </c>
      <c r="B311" s="1" t="str">
        <f>IFERROR(__xludf.DUMMYFUNCTION("GOOGLETRANSLATE(A237, ""zh-CN"", ""en"")"),"Shanxi Province")</f>
        <v>Shanxi Province</v>
      </c>
      <c r="C311" s="1" t="s">
        <v>272</v>
      </c>
      <c r="D311" s="1" t="str">
        <f>IFERROR(__xludf.DUMMYFUNCTION("GOOGLETRANSLATE(C311, ""zh-CN"", ""en"")"),"Guoluo Tibetan Autonomous Prefecture")</f>
        <v>Guoluo Tibetan Autonomous Prefecture</v>
      </c>
      <c r="E311" s="1" t="s">
        <v>303</v>
      </c>
      <c r="F311" s="1" t="str">
        <f>IFERROR(__xludf.DUMMYFUNCTION("GOOGLETRANSLATE(E311, ""zh-CN"", ""en"")"),"Gande County")</f>
        <v>Gande County</v>
      </c>
      <c r="G311" s="1">
        <v>6.32623E11</v>
      </c>
    </row>
    <row r="312">
      <c r="A312" s="1" t="s">
        <v>266</v>
      </c>
      <c r="B312" s="1" t="str">
        <f>IFERROR(__xludf.DUMMYFUNCTION("GOOGLETRANSLATE(A238, ""zh-CN"", ""en"")"),"Shanxi Province")</f>
        <v>Shanxi Province</v>
      </c>
      <c r="C312" s="1" t="s">
        <v>272</v>
      </c>
      <c r="D312" s="1" t="str">
        <f>IFERROR(__xludf.DUMMYFUNCTION("GOOGLETRANSLATE(C312, ""zh-CN"", ""en"")"),"Guoluo Tibetan Autonomous Prefecture")</f>
        <v>Guoluo Tibetan Autonomous Prefecture</v>
      </c>
      <c r="E312" s="1" t="s">
        <v>304</v>
      </c>
      <c r="F312" s="1" t="str">
        <f>IFERROR(__xludf.DUMMYFUNCTION("GOOGLETRANSLATE(E312, ""zh-CN"", ""en"")"),"Daigi County")</f>
        <v>Daigi County</v>
      </c>
      <c r="G312" s="1">
        <v>6.32624E11</v>
      </c>
    </row>
    <row r="313">
      <c r="A313" s="1" t="s">
        <v>266</v>
      </c>
      <c r="B313" s="1" t="str">
        <f>IFERROR(__xludf.DUMMYFUNCTION("GOOGLETRANSLATE(A239, ""zh-CN"", ""en"")"),"Shanxi Province")</f>
        <v>Shanxi Province</v>
      </c>
      <c r="C313" s="1" t="s">
        <v>272</v>
      </c>
      <c r="D313" s="1" t="str">
        <f>IFERROR(__xludf.DUMMYFUNCTION("GOOGLETRANSLATE(C313, ""zh-CN"", ""en"")"),"Guoluo Tibetan Autonomous Prefecture")</f>
        <v>Guoluo Tibetan Autonomous Prefecture</v>
      </c>
      <c r="E313" s="1" t="s">
        <v>305</v>
      </c>
      <c r="F313" s="1" t="str">
        <f>IFERROR(__xludf.DUMMYFUNCTION("GOOGLETRANSLATE(E313, ""zh-CN"", ""en"")"),"Koshi County")</f>
        <v>Koshi County</v>
      </c>
      <c r="G313" s="1">
        <v>6.32625E11</v>
      </c>
    </row>
    <row r="314">
      <c r="A314" s="1" t="s">
        <v>266</v>
      </c>
      <c r="B314" s="1" t="str">
        <f>IFERROR(__xludf.DUMMYFUNCTION("GOOGLETRANSLATE(A240, ""zh-CN"", ""en"")"),"Shanxi Province")</f>
        <v>Shanxi Province</v>
      </c>
      <c r="C314" s="1" t="s">
        <v>272</v>
      </c>
      <c r="D314" s="1" t="str">
        <f>IFERROR(__xludf.DUMMYFUNCTION("GOOGLETRANSLATE(C314, ""zh-CN"", ""en"")"),"Guoluo Tibetan Autonomous Prefecture")</f>
        <v>Guoluo Tibetan Autonomous Prefecture</v>
      </c>
      <c r="E314" s="1" t="s">
        <v>306</v>
      </c>
      <c r="F314" s="1" t="str">
        <f>IFERROR(__xludf.DUMMYFUNCTION("GOOGLETRANSLATE(E314, ""zh-CN"", ""en"")"),"Mado County")</f>
        <v>Mado County</v>
      </c>
      <c r="G314" s="1">
        <v>6.32626E11</v>
      </c>
    </row>
    <row r="315">
      <c r="A315" s="1" t="s">
        <v>266</v>
      </c>
      <c r="B315" s="1" t="str">
        <f>IFERROR(__xludf.DUMMYFUNCTION("GOOGLETRANSLATE(A241, ""zh-CN"", ""en"")"),"Shanxi Province")</f>
        <v>Shanxi Province</v>
      </c>
      <c r="C315" s="1" t="s">
        <v>273</v>
      </c>
      <c r="D315" s="1" t="str">
        <f>IFERROR(__xludf.DUMMYFUNCTION("GOOGLETRANSLATE(C315, ""zh-CN"", ""en"")"),"Yushu Tibetan Autonomous Prefecture")</f>
        <v>Yushu Tibetan Autonomous Prefecture</v>
      </c>
      <c r="E315" s="1" t="s">
        <v>307</v>
      </c>
      <c r="F315" s="1" t="str">
        <f>IFERROR(__xludf.DUMMYFUNCTION("GOOGLETRANSLATE(E315, ""zh-CN"", ""en"")"),"Yushu City")</f>
        <v>Yushu City</v>
      </c>
      <c r="G315" s="1">
        <v>6.32701E11</v>
      </c>
    </row>
    <row r="316">
      <c r="A316" s="1" t="s">
        <v>266</v>
      </c>
      <c r="B316" s="1" t="str">
        <f>IFERROR(__xludf.DUMMYFUNCTION("GOOGLETRANSLATE(A242, ""zh-CN"", ""en"")"),"Shanxi Province")</f>
        <v>Shanxi Province</v>
      </c>
      <c r="C316" s="1" t="s">
        <v>273</v>
      </c>
      <c r="D316" s="1" t="str">
        <f>IFERROR(__xludf.DUMMYFUNCTION("GOOGLETRANSLATE(C316, ""zh-CN"", ""en"")"),"Yushu Tibetan Autonomous Prefecture")</f>
        <v>Yushu Tibetan Autonomous Prefecture</v>
      </c>
      <c r="E316" s="1" t="s">
        <v>308</v>
      </c>
      <c r="F316" s="1" t="str">
        <f>IFERROR(__xludf.DUMMYFUNCTION("GOOGLETRANSLATE(E316, ""zh-CN"", ""en"")"),"Miscellaneous county")</f>
        <v>Miscellaneous county</v>
      </c>
      <c r="G316" s="1">
        <v>6.32722E11</v>
      </c>
    </row>
    <row r="317">
      <c r="A317" s="1" t="s">
        <v>266</v>
      </c>
      <c r="B317" s="1" t="str">
        <f>IFERROR(__xludf.DUMMYFUNCTION("GOOGLETRANSLATE(A243, ""zh-CN"", ""en"")"),"Shanxi Province")</f>
        <v>Shanxi Province</v>
      </c>
      <c r="C317" s="1" t="s">
        <v>273</v>
      </c>
      <c r="D317" s="1" t="str">
        <f>IFERROR(__xludf.DUMMYFUNCTION("GOOGLETRANSLATE(C317, ""zh-CN"", ""en"")"),"Yushu Tibetan Autonomous Prefecture")</f>
        <v>Yushu Tibetan Autonomous Prefecture</v>
      </c>
      <c r="E317" s="1" t="s">
        <v>309</v>
      </c>
      <c r="F317" s="1" t="str">
        <f>IFERROR(__xludf.DUMMYFUNCTION("GOOGLETRANSLATE(E317, ""zh-CN"", ""en"")"),"Duoduo County")</f>
        <v>Duoduo County</v>
      </c>
      <c r="G317" s="1">
        <v>6.32723E11</v>
      </c>
    </row>
    <row r="318">
      <c r="A318" s="1" t="s">
        <v>266</v>
      </c>
      <c r="B318" s="1" t="str">
        <f>IFERROR(__xludf.DUMMYFUNCTION("GOOGLETRANSLATE(A244, ""zh-CN"", ""en"")"),"Shanxi Province")</f>
        <v>Shanxi Province</v>
      </c>
      <c r="C318" s="1" t="s">
        <v>273</v>
      </c>
      <c r="D318" s="1" t="str">
        <f>IFERROR(__xludf.DUMMYFUNCTION("GOOGLETRANSLATE(C318, ""zh-CN"", ""en"")"),"Yushu Tibetan Autonomous Prefecture")</f>
        <v>Yushu Tibetan Autonomous Prefecture</v>
      </c>
      <c r="E318" s="1" t="s">
        <v>310</v>
      </c>
      <c r="F318" s="1" t="str">
        <f>IFERROR(__xludf.DUMMYFUNCTION("GOOGLETRANSLATE(E318, ""zh-CN"", ""en"")"),"Zhiduo County")</f>
        <v>Zhiduo County</v>
      </c>
      <c r="G318" s="1">
        <v>6.32724E11</v>
      </c>
    </row>
    <row r="319">
      <c r="A319" s="1" t="s">
        <v>266</v>
      </c>
      <c r="B319" s="1" t="str">
        <f>IFERROR(__xludf.DUMMYFUNCTION("GOOGLETRANSLATE(A245, ""zh-CN"", ""en"")"),"Shanxi Province")</f>
        <v>Shanxi Province</v>
      </c>
      <c r="C319" s="1" t="s">
        <v>273</v>
      </c>
      <c r="D319" s="1" t="str">
        <f>IFERROR(__xludf.DUMMYFUNCTION("GOOGLETRANSLATE(C319, ""zh-CN"", ""en"")"),"Yushu Tibetan Autonomous Prefecture")</f>
        <v>Yushu Tibetan Autonomous Prefecture</v>
      </c>
      <c r="E319" s="1" t="s">
        <v>311</v>
      </c>
      <c r="F319" s="1" t="str">
        <f>IFERROR(__xludf.DUMMYFUNCTION("GOOGLETRANSLATE(E319, ""zh-CN"", ""en"")"),"Qiqian County")</f>
        <v>Qiqian County</v>
      </c>
      <c r="G319" s="1">
        <v>6.32725E11</v>
      </c>
    </row>
    <row r="320">
      <c r="A320" s="1" t="s">
        <v>266</v>
      </c>
      <c r="B320" s="1" t="str">
        <f>IFERROR(__xludf.DUMMYFUNCTION("GOOGLETRANSLATE(A246, ""zh-CN"", ""en"")"),"Shanxi Province")</f>
        <v>Shanxi Province</v>
      </c>
      <c r="C320" s="1" t="s">
        <v>273</v>
      </c>
      <c r="D320" s="1" t="str">
        <f>IFERROR(__xludf.DUMMYFUNCTION("GOOGLETRANSLATE(C320, ""zh-CN"", ""en"")"),"Yushu Tibetan Autonomous Prefecture")</f>
        <v>Yushu Tibetan Autonomous Prefecture</v>
      </c>
      <c r="E320" s="1" t="s">
        <v>312</v>
      </c>
      <c r="F320" s="1" t="str">
        <f>IFERROR(__xludf.DUMMYFUNCTION("GOOGLETRANSLATE(E320, ""zh-CN"", ""en"")"),"Qu Ma Lai County")</f>
        <v>Qu Ma Lai County</v>
      </c>
      <c r="G320" s="1">
        <v>6.32726E11</v>
      </c>
    </row>
    <row r="321">
      <c r="A321" s="1" t="s">
        <v>266</v>
      </c>
      <c r="B321" s="1" t="str">
        <f>IFERROR(__xludf.DUMMYFUNCTION("GOOGLETRANSLATE(A247, ""zh-CN"", ""en"")"),"Shanxi Province")</f>
        <v>Shanxi Province</v>
      </c>
      <c r="C321" s="1" t="s">
        <v>274</v>
      </c>
      <c r="D321" s="1" t="str">
        <f>IFERROR(__xludf.DUMMYFUNCTION("GOOGLETRANSLATE(C321, ""zh-CN"", ""en"")"),"Haixi Mongolian Tibetan Autonomous Prefecture")</f>
        <v>Haixi Mongolian Tibetan Autonomous Prefecture</v>
      </c>
      <c r="E321" s="1" t="s">
        <v>313</v>
      </c>
      <c r="F321" s="1" t="str">
        <f>IFERROR(__xludf.DUMMYFUNCTION("GOOGLETRANSLATE(E321, ""zh-CN"", ""en"")"),"Gulmud City")</f>
        <v>Gulmud City</v>
      </c>
      <c r="G321" s="1">
        <v>6.32801E11</v>
      </c>
    </row>
    <row r="322">
      <c r="A322" s="1" t="s">
        <v>266</v>
      </c>
      <c r="B322" s="1" t="str">
        <f>IFERROR(__xludf.DUMMYFUNCTION("GOOGLETRANSLATE(A248, ""zh-CN"", ""en"")"),"Shanxi Province")</f>
        <v>Shanxi Province</v>
      </c>
      <c r="C322" s="1" t="s">
        <v>274</v>
      </c>
      <c r="D322" s="1" t="str">
        <f>IFERROR(__xludf.DUMMYFUNCTION("GOOGLETRANSLATE(C322, ""zh-CN"", ""en"")"),"Haixi Mongolian Tibetan Autonomous Prefecture")</f>
        <v>Haixi Mongolian Tibetan Autonomous Prefecture</v>
      </c>
      <c r="E322" s="1" t="s">
        <v>314</v>
      </c>
      <c r="F322" s="1" t="str">
        <f>IFERROR(__xludf.DUMMYFUNCTION("GOOGLETRANSLATE(E322, ""zh-CN"", ""en"")"),"Delingha City")</f>
        <v>Delingha City</v>
      </c>
      <c r="G322" s="1">
        <v>6.32802E11</v>
      </c>
    </row>
    <row r="323">
      <c r="A323" s="1" t="s">
        <v>266</v>
      </c>
      <c r="B323" s="1" t="str">
        <f>IFERROR(__xludf.DUMMYFUNCTION("GOOGLETRANSLATE(A249, ""zh-CN"", ""en"")"),"Shanxi Province")</f>
        <v>Shanxi Province</v>
      </c>
      <c r="C323" s="1" t="s">
        <v>274</v>
      </c>
      <c r="D323" s="1" t="str">
        <f>IFERROR(__xludf.DUMMYFUNCTION("GOOGLETRANSLATE(C323, ""zh-CN"", ""en"")"),"Haixi Mongolian Tibetan Autonomous Prefecture")</f>
        <v>Haixi Mongolian Tibetan Autonomous Prefecture</v>
      </c>
      <c r="E323" s="1" t="s">
        <v>315</v>
      </c>
      <c r="F323" s="1" t="str">
        <f>IFERROR(__xludf.DUMMYFUNCTION("GOOGLETRANSLATE(E323, ""zh-CN"", ""en"")"),"Mianya City")</f>
        <v>Mianya City</v>
      </c>
      <c r="G323" s="1">
        <v>6.32803E11</v>
      </c>
    </row>
    <row r="324">
      <c r="A324" s="1" t="s">
        <v>266</v>
      </c>
      <c r="B324" s="1" t="str">
        <f>IFERROR(__xludf.DUMMYFUNCTION("GOOGLETRANSLATE(A250, ""zh-CN"", ""en"")"),"Shanxi Province")</f>
        <v>Shanxi Province</v>
      </c>
      <c r="C324" s="1" t="s">
        <v>274</v>
      </c>
      <c r="D324" s="1" t="str">
        <f>IFERROR(__xludf.DUMMYFUNCTION("GOOGLETRANSLATE(C324, ""zh-CN"", ""en"")"),"Haixi Mongolian Tibetan Autonomous Prefecture")</f>
        <v>Haixi Mongolian Tibetan Autonomous Prefecture</v>
      </c>
      <c r="E324" s="1" t="s">
        <v>316</v>
      </c>
      <c r="F324" s="1" t="str">
        <f>IFERROR(__xludf.DUMMYFUNCTION("GOOGLETRANSLATE(E324, ""zh-CN"", ""en"")"),"Wulan County")</f>
        <v>Wulan County</v>
      </c>
      <c r="G324" s="1">
        <v>6.32821E11</v>
      </c>
    </row>
    <row r="325">
      <c r="A325" s="1" t="s">
        <v>266</v>
      </c>
      <c r="B325" s="1" t="str">
        <f>IFERROR(__xludf.DUMMYFUNCTION("GOOGLETRANSLATE(A251, ""zh-CN"", ""en"")"),"Shanxi Province")</f>
        <v>Shanxi Province</v>
      </c>
      <c r="C325" s="1" t="s">
        <v>274</v>
      </c>
      <c r="D325" s="1" t="str">
        <f>IFERROR(__xludf.DUMMYFUNCTION("GOOGLETRANSLATE(C325, ""zh-CN"", ""en"")"),"Haixi Mongolian Tibetan Autonomous Prefecture")</f>
        <v>Haixi Mongolian Tibetan Autonomous Prefecture</v>
      </c>
      <c r="E325" s="1" t="s">
        <v>317</v>
      </c>
      <c r="F325" s="1" t="str">
        <f>IFERROR(__xludf.DUMMYFUNCTION("GOOGLETRANSLATE(E325, ""zh-CN"", ""en"")"),"Dulan County")</f>
        <v>Dulan County</v>
      </c>
      <c r="G325" s="1">
        <v>6.32822E11</v>
      </c>
    </row>
    <row r="326">
      <c r="A326" s="1" t="s">
        <v>266</v>
      </c>
      <c r="B326" s="1" t="str">
        <f>IFERROR(__xludf.DUMMYFUNCTION("GOOGLETRANSLATE(A252, ""zh-CN"", ""en"")"),"Shanxi Province")</f>
        <v>Shanxi Province</v>
      </c>
      <c r="C326" s="1" t="s">
        <v>274</v>
      </c>
      <c r="D326" s="1" t="str">
        <f>IFERROR(__xludf.DUMMYFUNCTION("GOOGLETRANSLATE(C326, ""zh-CN"", ""en"")"),"Haixi Mongolian Tibetan Autonomous Prefecture")</f>
        <v>Haixi Mongolian Tibetan Autonomous Prefecture</v>
      </c>
      <c r="E326" s="1" t="s">
        <v>318</v>
      </c>
      <c r="F326" s="1" t="str">
        <f>IFERROR(__xludf.DUMMYFUNCTION("GOOGLETRANSLATE(E326, ""zh-CN"", ""en"")"),"Tianjun County")</f>
        <v>Tianjun County</v>
      </c>
      <c r="G326" s="1">
        <v>6.32823E11</v>
      </c>
    </row>
    <row r="327">
      <c r="A327" s="1" t="s">
        <v>266</v>
      </c>
      <c r="B327" s="1" t="str">
        <f>IFERROR(__xludf.DUMMYFUNCTION("GOOGLETRANSLATE(A253, ""zh-CN"", ""en"")"),"Shanxi Province")</f>
        <v>Shanxi Province</v>
      </c>
      <c r="C327" s="1" t="s">
        <v>274</v>
      </c>
      <c r="D327" s="1" t="str">
        <f>IFERROR(__xludf.DUMMYFUNCTION("GOOGLETRANSLATE(C327, ""zh-CN"", ""en"")"),"Haixi Mongolian Tibetan Autonomous Prefecture")</f>
        <v>Haixi Mongolian Tibetan Autonomous Prefecture</v>
      </c>
      <c r="E327" s="1" t="s">
        <v>319</v>
      </c>
      <c r="F327" s="1" t="str">
        <f>IFERROR(__xludf.DUMMYFUNCTION("GOOGLETRANSLATE(E327, ""zh-CN"", ""en"")"),"Dachaidan Administrative Committee")</f>
        <v>Dachaidan Administrative Committee</v>
      </c>
      <c r="G327" s="1">
        <v>6.32857E11</v>
      </c>
    </row>
    <row r="328">
      <c r="A328" s="1" t="s">
        <v>320</v>
      </c>
      <c r="B328" s="1" t="str">
        <f>IFERROR(__xludf.DUMMYFUNCTION("GOOGLETRANSLATE(A254, ""zh-CN"", ""en"")"),"Shanxi Province")</f>
        <v>Shanxi Province</v>
      </c>
      <c r="C328" s="1" t="s">
        <v>8</v>
      </c>
      <c r="D328" s="1" t="str">
        <f>IFERROR(__xludf.DUMMYFUNCTION("GOOGLETRANSLATE(C328, ""zh-CN"", ""en"")"),"Na")</f>
        <v>Na</v>
      </c>
      <c r="E328" s="1" t="s">
        <v>8</v>
      </c>
      <c r="F328" s="1" t="str">
        <f>IFERROR(__xludf.DUMMYFUNCTION("GOOGLETRANSLATE(E328, ""zh-CN"", ""en"")"),"Na")</f>
        <v>Na</v>
      </c>
      <c r="G328" s="1">
        <v>43.0</v>
      </c>
    </row>
    <row r="329">
      <c r="A329" s="1" t="s">
        <v>320</v>
      </c>
      <c r="B329" s="1" t="str">
        <f>IFERROR(__xludf.DUMMYFUNCTION("GOOGLETRANSLATE(A255, ""zh-CN"", ""en"")"),"Shanxi Province")</f>
        <v>Shanxi Province</v>
      </c>
      <c r="C329" s="1" t="s">
        <v>321</v>
      </c>
      <c r="D329" s="1" t="str">
        <f>IFERROR(__xludf.DUMMYFUNCTION("GOOGLETRANSLATE(C329, ""zh-CN"", ""en"")"),"Changsha City")</f>
        <v>Changsha City</v>
      </c>
      <c r="E329" s="1" t="s">
        <v>8</v>
      </c>
      <c r="F329" s="1" t="str">
        <f>IFERROR(__xludf.DUMMYFUNCTION("GOOGLETRANSLATE(E329, ""zh-CN"", ""en"")"),"Na")</f>
        <v>Na</v>
      </c>
      <c r="G329" s="1">
        <v>4.301E11</v>
      </c>
    </row>
    <row r="330">
      <c r="A330" s="1" t="s">
        <v>320</v>
      </c>
      <c r="B330" s="1" t="str">
        <f>IFERROR(__xludf.DUMMYFUNCTION("GOOGLETRANSLATE(A256, ""zh-CN"", ""en"")"),"Shanxi Province")</f>
        <v>Shanxi Province</v>
      </c>
      <c r="C330" s="1" t="s">
        <v>322</v>
      </c>
      <c r="D330" s="1" t="str">
        <f>IFERROR(__xludf.DUMMYFUNCTION("GOOGLETRANSLATE(C330, ""zh-CN"", ""en"")"),"Zhuzhou City")</f>
        <v>Zhuzhou City</v>
      </c>
      <c r="E330" s="1" t="s">
        <v>8</v>
      </c>
      <c r="F330" s="1" t="str">
        <f>IFERROR(__xludf.DUMMYFUNCTION("GOOGLETRANSLATE(E330, ""zh-CN"", ""en"")"),"Na")</f>
        <v>Na</v>
      </c>
      <c r="G330" s="1">
        <v>4.302E11</v>
      </c>
    </row>
    <row r="331">
      <c r="A331" s="1" t="s">
        <v>320</v>
      </c>
      <c r="B331" s="1" t="str">
        <f>IFERROR(__xludf.DUMMYFUNCTION("GOOGLETRANSLATE(A257, ""zh-CN"", ""en"")"),"Shanxi Province")</f>
        <v>Shanxi Province</v>
      </c>
      <c r="C331" s="1" t="s">
        <v>323</v>
      </c>
      <c r="D331" s="1" t="str">
        <f>IFERROR(__xludf.DUMMYFUNCTION("GOOGLETRANSLATE(C331, ""zh-CN"", ""en"")"),"Xiangtan City")</f>
        <v>Xiangtan City</v>
      </c>
      <c r="E331" s="1" t="s">
        <v>8</v>
      </c>
      <c r="F331" s="1" t="str">
        <f>IFERROR(__xludf.DUMMYFUNCTION("GOOGLETRANSLATE(E331, ""zh-CN"", ""en"")"),"Na")</f>
        <v>Na</v>
      </c>
      <c r="G331" s="1">
        <v>4.303E11</v>
      </c>
    </row>
    <row r="332">
      <c r="A332" s="1" t="s">
        <v>320</v>
      </c>
      <c r="B332" s="1" t="str">
        <f>IFERROR(__xludf.DUMMYFUNCTION("GOOGLETRANSLATE(A258, ""zh-CN"", ""en"")"),"Shanxi Province")</f>
        <v>Shanxi Province</v>
      </c>
      <c r="C332" s="1" t="s">
        <v>324</v>
      </c>
      <c r="D332" s="1" t="str">
        <f>IFERROR(__xludf.DUMMYFUNCTION("GOOGLETRANSLATE(C332, ""zh-CN"", ""en"")"),"Hengyang City")</f>
        <v>Hengyang City</v>
      </c>
      <c r="E332" s="1" t="s">
        <v>8</v>
      </c>
      <c r="F332" s="1" t="str">
        <f>IFERROR(__xludf.DUMMYFUNCTION("GOOGLETRANSLATE(E332, ""zh-CN"", ""en"")"),"Na")</f>
        <v>Na</v>
      </c>
      <c r="G332" s="1">
        <v>4.304E11</v>
      </c>
    </row>
    <row r="333">
      <c r="A333" s="1" t="s">
        <v>320</v>
      </c>
      <c r="B333" s="1" t="str">
        <f>IFERROR(__xludf.DUMMYFUNCTION("GOOGLETRANSLATE(A259, ""zh-CN"", ""en"")"),"Shanxi Province")</f>
        <v>Shanxi Province</v>
      </c>
      <c r="C333" s="1" t="s">
        <v>325</v>
      </c>
      <c r="D333" s="1" t="str">
        <f>IFERROR(__xludf.DUMMYFUNCTION("GOOGLETRANSLATE(C333, ""zh-CN"", ""en"")"),"Shaoyang City")</f>
        <v>Shaoyang City</v>
      </c>
      <c r="E333" s="1" t="s">
        <v>8</v>
      </c>
      <c r="F333" s="1" t="str">
        <f>IFERROR(__xludf.DUMMYFUNCTION("GOOGLETRANSLATE(E333, ""zh-CN"", ""en"")"),"Na")</f>
        <v>Na</v>
      </c>
      <c r="G333" s="1">
        <v>4.305E11</v>
      </c>
    </row>
    <row r="334">
      <c r="A334" s="1" t="s">
        <v>320</v>
      </c>
      <c r="B334" s="1" t="str">
        <f>IFERROR(__xludf.DUMMYFUNCTION("GOOGLETRANSLATE(A260, ""zh-CN"", ""en"")"),"Shanxi Province")</f>
        <v>Shanxi Province</v>
      </c>
      <c r="C334" s="1" t="s">
        <v>326</v>
      </c>
      <c r="D334" s="1" t="str">
        <f>IFERROR(__xludf.DUMMYFUNCTION("GOOGLETRANSLATE(C334, ""zh-CN"", ""en"")"),"Yueyang City")</f>
        <v>Yueyang City</v>
      </c>
      <c r="E334" s="1" t="s">
        <v>8</v>
      </c>
      <c r="F334" s="1" t="str">
        <f>IFERROR(__xludf.DUMMYFUNCTION("GOOGLETRANSLATE(E334, ""zh-CN"", ""en"")"),"Na")</f>
        <v>Na</v>
      </c>
      <c r="G334" s="1">
        <v>4.306E11</v>
      </c>
    </row>
    <row r="335">
      <c r="A335" s="1" t="s">
        <v>320</v>
      </c>
      <c r="B335" s="1" t="str">
        <f>IFERROR(__xludf.DUMMYFUNCTION("GOOGLETRANSLATE(A261, ""zh-CN"", ""en"")"),"Shanxi Province")</f>
        <v>Shanxi Province</v>
      </c>
      <c r="C335" s="1" t="s">
        <v>327</v>
      </c>
      <c r="D335" s="1" t="str">
        <f>IFERROR(__xludf.DUMMYFUNCTION("GOOGLETRANSLATE(C335, ""zh-CN"", ""en"")"),"Changde City")</f>
        <v>Changde City</v>
      </c>
      <c r="E335" s="1" t="s">
        <v>8</v>
      </c>
      <c r="F335" s="1" t="str">
        <f>IFERROR(__xludf.DUMMYFUNCTION("GOOGLETRANSLATE(E335, ""zh-CN"", ""en"")"),"Na")</f>
        <v>Na</v>
      </c>
      <c r="G335" s="1">
        <v>4.307E11</v>
      </c>
    </row>
    <row r="336">
      <c r="A336" s="1" t="s">
        <v>320</v>
      </c>
      <c r="B336" s="1" t="str">
        <f>IFERROR(__xludf.DUMMYFUNCTION("GOOGLETRANSLATE(A262, ""zh-CN"", ""en"")"),"Shanxi Province")</f>
        <v>Shanxi Province</v>
      </c>
      <c r="C336" s="1" t="s">
        <v>328</v>
      </c>
      <c r="D336" s="1" t="str">
        <f>IFERROR(__xludf.DUMMYFUNCTION("GOOGLETRANSLATE(C336, ""zh-CN"", ""en"")"),"Zhangjiajie City")</f>
        <v>Zhangjiajie City</v>
      </c>
      <c r="E336" s="1" t="s">
        <v>8</v>
      </c>
      <c r="F336" s="1" t="str">
        <f>IFERROR(__xludf.DUMMYFUNCTION("GOOGLETRANSLATE(E336, ""zh-CN"", ""en"")"),"Na")</f>
        <v>Na</v>
      </c>
      <c r="G336" s="1">
        <v>4.308E11</v>
      </c>
    </row>
    <row r="337">
      <c r="A337" s="1" t="s">
        <v>320</v>
      </c>
      <c r="B337" s="1" t="str">
        <f>IFERROR(__xludf.DUMMYFUNCTION("GOOGLETRANSLATE(A263, ""zh-CN"", ""en"")"),"Shanxi Province")</f>
        <v>Shanxi Province</v>
      </c>
      <c r="C337" s="1" t="s">
        <v>329</v>
      </c>
      <c r="D337" s="1" t="str">
        <f>IFERROR(__xludf.DUMMYFUNCTION("GOOGLETRANSLATE(C337, ""zh-CN"", ""en"")"),"Yiyang City")</f>
        <v>Yiyang City</v>
      </c>
      <c r="E337" s="1" t="s">
        <v>8</v>
      </c>
      <c r="F337" s="1" t="str">
        <f>IFERROR(__xludf.DUMMYFUNCTION("GOOGLETRANSLATE(E337, ""zh-CN"", ""en"")"),"Na")</f>
        <v>Na</v>
      </c>
      <c r="G337" s="1">
        <v>4.309E11</v>
      </c>
    </row>
    <row r="338">
      <c r="A338" s="1" t="s">
        <v>320</v>
      </c>
      <c r="B338" s="1" t="str">
        <f>IFERROR(__xludf.DUMMYFUNCTION("GOOGLETRANSLATE(A264, ""zh-CN"", ""en"")"),"Shanxi Province")</f>
        <v>Shanxi Province</v>
      </c>
      <c r="C338" s="1" t="s">
        <v>330</v>
      </c>
      <c r="D338" s="1" t="str">
        <f>IFERROR(__xludf.DUMMYFUNCTION("GOOGLETRANSLATE(C338, ""zh-CN"", ""en"")"),"Luzhou")</f>
        <v>Luzhou</v>
      </c>
      <c r="E338" s="1" t="s">
        <v>8</v>
      </c>
      <c r="F338" s="1" t="str">
        <f>IFERROR(__xludf.DUMMYFUNCTION("GOOGLETRANSLATE(E338, ""zh-CN"", ""en"")"),"Na")</f>
        <v>Na</v>
      </c>
      <c r="G338" s="1">
        <v>4.31E11</v>
      </c>
    </row>
    <row r="339">
      <c r="A339" s="1" t="s">
        <v>320</v>
      </c>
      <c r="B339" s="1" t="str">
        <f>IFERROR(__xludf.DUMMYFUNCTION("GOOGLETRANSLATE(A265, ""zh-CN"", ""en"")"),"Shanxi Province")</f>
        <v>Shanxi Province</v>
      </c>
      <c r="C339" s="1" t="s">
        <v>331</v>
      </c>
      <c r="D339" s="1" t="str">
        <f>IFERROR(__xludf.DUMMYFUNCTION("GOOGLETRANSLATE(C339, ""zh-CN"", ""en"")"),"Yongzhou")</f>
        <v>Yongzhou</v>
      </c>
      <c r="E339" s="1" t="s">
        <v>8</v>
      </c>
      <c r="F339" s="1" t="str">
        <f>IFERROR(__xludf.DUMMYFUNCTION("GOOGLETRANSLATE(E339, ""zh-CN"", ""en"")"),"Na")</f>
        <v>Na</v>
      </c>
      <c r="G339" s="1">
        <v>4.311E11</v>
      </c>
    </row>
    <row r="340">
      <c r="A340" s="1" t="s">
        <v>320</v>
      </c>
      <c r="B340" s="1" t="str">
        <f>IFERROR(__xludf.DUMMYFUNCTION("GOOGLETRANSLATE(A266, ""zh-CN"", ""en"")"),"Shanxi Province")</f>
        <v>Shanxi Province</v>
      </c>
      <c r="C340" s="1" t="s">
        <v>332</v>
      </c>
      <c r="D340" s="1" t="str">
        <f>IFERROR(__xludf.DUMMYFUNCTION("GOOGLETRANSLATE(C340, ""zh-CN"", ""en"")"),"Huaihua City")</f>
        <v>Huaihua City</v>
      </c>
      <c r="E340" s="1" t="s">
        <v>8</v>
      </c>
      <c r="F340" s="1" t="str">
        <f>IFERROR(__xludf.DUMMYFUNCTION("GOOGLETRANSLATE(E340, ""zh-CN"", ""en"")"),"Na")</f>
        <v>Na</v>
      </c>
      <c r="G340" s="1">
        <v>4.312E11</v>
      </c>
    </row>
    <row r="341">
      <c r="A341" s="1" t="s">
        <v>320</v>
      </c>
      <c r="B341" s="1" t="str">
        <f>IFERROR(__xludf.DUMMYFUNCTION("GOOGLETRANSLATE(A267, ""zh-CN"", ""en"")"),"Shanxi Province")</f>
        <v>Shanxi Province</v>
      </c>
      <c r="C341" s="1" t="s">
        <v>333</v>
      </c>
      <c r="D341" s="1" t="str">
        <f>IFERROR(__xludf.DUMMYFUNCTION("GOOGLETRANSLATE(C341, ""zh-CN"", ""en"")"),"Loudi City")</f>
        <v>Loudi City</v>
      </c>
      <c r="E341" s="1" t="s">
        <v>8</v>
      </c>
      <c r="F341" s="1" t="str">
        <f>IFERROR(__xludf.DUMMYFUNCTION("GOOGLETRANSLATE(E341, ""zh-CN"", ""en"")"),"Na")</f>
        <v>Na</v>
      </c>
      <c r="G341" s="1">
        <v>4.313E11</v>
      </c>
    </row>
    <row r="342">
      <c r="A342" s="1" t="s">
        <v>320</v>
      </c>
      <c r="B342" s="1" t="str">
        <f>IFERROR(__xludf.DUMMYFUNCTION("GOOGLETRANSLATE(A268, ""zh-CN"", ""en"")"),"Shanxi Province")</f>
        <v>Shanxi Province</v>
      </c>
      <c r="C342" s="1" t="s">
        <v>334</v>
      </c>
      <c r="D342" s="1" t="str">
        <f>IFERROR(__xludf.DUMMYFUNCTION("GOOGLETRANSLATE(C342, ""zh-CN"", ""en"")"),"Xiangxi Tujia Miao Autonomous Prefecture")</f>
        <v>Xiangxi Tujia Miao Autonomous Prefecture</v>
      </c>
      <c r="E342" s="1" t="s">
        <v>8</v>
      </c>
      <c r="F342" s="1" t="str">
        <f>IFERROR(__xludf.DUMMYFUNCTION("GOOGLETRANSLATE(E342, ""zh-CN"", ""en"")"),"Na")</f>
        <v>Na</v>
      </c>
      <c r="G342" s="1">
        <v>4.331E11</v>
      </c>
    </row>
    <row r="343">
      <c r="A343" s="1" t="s">
        <v>320</v>
      </c>
      <c r="B343" s="1" t="str">
        <f>IFERROR(__xludf.DUMMYFUNCTION("GOOGLETRANSLATE(A269, ""zh-CN"", ""en"")"),"Shanxi Province")</f>
        <v>Shanxi Province</v>
      </c>
      <c r="C343" s="1" t="s">
        <v>321</v>
      </c>
      <c r="D343" s="1" t="str">
        <f>IFERROR(__xludf.DUMMYFUNCTION("GOOGLETRANSLATE(C343, ""zh-CN"", ""en"")"),"Changsha City")</f>
        <v>Changsha City</v>
      </c>
      <c r="E343" s="1" t="s">
        <v>24</v>
      </c>
      <c r="F343" s="1" t="str">
        <f>IFERROR(__xludf.DUMMYFUNCTION("GOOGLETRANSLATE(E343, ""zh-CN"", ""en"")"),"City area")</f>
        <v>City area</v>
      </c>
      <c r="G343" s="1">
        <v>4.30101E11</v>
      </c>
    </row>
    <row r="344">
      <c r="A344" s="1" t="s">
        <v>320</v>
      </c>
      <c r="B344" s="1" t="str">
        <f>IFERROR(__xludf.DUMMYFUNCTION("GOOGLETRANSLATE(A270, ""zh-CN"", ""en"")"),"Shanxi Province")</f>
        <v>Shanxi Province</v>
      </c>
      <c r="C344" s="1" t="s">
        <v>321</v>
      </c>
      <c r="D344" s="1" t="str">
        <f>IFERROR(__xludf.DUMMYFUNCTION("GOOGLETRANSLATE(C344, ""zh-CN"", ""en"")"),"Changsha City")</f>
        <v>Changsha City</v>
      </c>
      <c r="E344" s="1" t="s">
        <v>335</v>
      </c>
      <c r="F344" s="1" t="str">
        <f>IFERROR(__xludf.DUMMYFUNCTION("GOOGLETRANSLATE(E344, ""zh-CN"", ""en"")"),"Hibiscus area")</f>
        <v>Hibiscus area</v>
      </c>
      <c r="G344" s="1">
        <v>4.30102E11</v>
      </c>
    </row>
    <row r="345">
      <c r="A345" s="1" t="s">
        <v>320</v>
      </c>
      <c r="B345" s="1" t="str">
        <f>IFERROR(__xludf.DUMMYFUNCTION("GOOGLETRANSLATE(A271, ""zh-CN"", ""en"")"),"Shanxi Province")</f>
        <v>Shanxi Province</v>
      </c>
      <c r="C345" s="1" t="s">
        <v>321</v>
      </c>
      <c r="D345" s="1" t="str">
        <f>IFERROR(__xludf.DUMMYFUNCTION("GOOGLETRANSLATE(C345, ""zh-CN"", ""en"")"),"Changsha City")</f>
        <v>Changsha City</v>
      </c>
      <c r="E345" s="1" t="s">
        <v>336</v>
      </c>
      <c r="F345" s="1" t="str">
        <f>IFERROR(__xludf.DUMMYFUNCTION("GOOGLETRANSLATE(E345, ""zh-CN"", ""en"")"),"Tianxin District")</f>
        <v>Tianxin District</v>
      </c>
      <c r="G345" s="1">
        <v>4.30103E11</v>
      </c>
    </row>
    <row r="346">
      <c r="A346" s="1" t="s">
        <v>320</v>
      </c>
      <c r="B346" s="1" t="str">
        <f>IFERROR(__xludf.DUMMYFUNCTION("GOOGLETRANSLATE(A272, ""zh-CN"", ""en"")"),"Shanxi Province")</f>
        <v>Shanxi Province</v>
      </c>
      <c r="C346" s="1" t="s">
        <v>321</v>
      </c>
      <c r="D346" s="1" t="str">
        <f>IFERROR(__xludf.DUMMYFUNCTION("GOOGLETRANSLATE(C346, ""zh-CN"", ""en"")"),"Changsha City")</f>
        <v>Changsha City</v>
      </c>
      <c r="E346" s="1" t="s">
        <v>337</v>
      </c>
      <c r="F346" s="1" t="str">
        <f>IFERROR(__xludf.DUMMYFUNCTION("GOOGLETRANSLATE(E346, ""zh-CN"", ""en"")"),"Yuelu District")</f>
        <v>Yuelu District</v>
      </c>
      <c r="G346" s="1">
        <v>4.30104E11</v>
      </c>
    </row>
    <row r="347">
      <c r="A347" s="1" t="s">
        <v>320</v>
      </c>
      <c r="B347" s="1" t="str">
        <f>IFERROR(__xludf.DUMMYFUNCTION("GOOGLETRANSLATE(A273, ""zh-CN"", ""en"")"),"Qinghai Province")</f>
        <v>Qinghai Province</v>
      </c>
      <c r="C347" s="1" t="s">
        <v>321</v>
      </c>
      <c r="D347" s="1" t="str">
        <f>IFERROR(__xludf.DUMMYFUNCTION("GOOGLETRANSLATE(C347, ""zh-CN"", ""en"")"),"Changsha City")</f>
        <v>Changsha City</v>
      </c>
      <c r="E347" s="1" t="s">
        <v>338</v>
      </c>
      <c r="F347" s="1" t="str">
        <f>IFERROR(__xludf.DUMMYFUNCTION("GOOGLETRANSLATE(E347, ""zh-CN"", ""en"")"),"Kaifu District")</f>
        <v>Kaifu District</v>
      </c>
      <c r="G347" s="1">
        <v>4.30105E11</v>
      </c>
    </row>
    <row r="348">
      <c r="A348" s="1" t="s">
        <v>320</v>
      </c>
      <c r="B348" s="1" t="str">
        <f>IFERROR(__xludf.DUMMYFUNCTION("GOOGLETRANSLATE(A274, ""zh-CN"", ""en"")"),"Qinghai Province")</f>
        <v>Qinghai Province</v>
      </c>
      <c r="C348" s="1" t="s">
        <v>321</v>
      </c>
      <c r="D348" s="1" t="str">
        <f>IFERROR(__xludf.DUMMYFUNCTION("GOOGLETRANSLATE(C348, ""zh-CN"", ""en"")"),"Changsha City")</f>
        <v>Changsha City</v>
      </c>
      <c r="E348" s="1" t="s">
        <v>339</v>
      </c>
      <c r="F348" s="1" t="str">
        <f>IFERROR(__xludf.DUMMYFUNCTION("GOOGLETRANSLATE(E348, ""zh-CN"", ""en"")"),"Yuhua District")</f>
        <v>Yuhua District</v>
      </c>
      <c r="G348" s="1">
        <v>4.30111E11</v>
      </c>
    </row>
    <row r="349">
      <c r="A349" s="1" t="s">
        <v>320</v>
      </c>
      <c r="B349" s="1" t="str">
        <f>IFERROR(__xludf.DUMMYFUNCTION("GOOGLETRANSLATE(A275, ""zh-CN"", ""en"")"),"Qinghai Province")</f>
        <v>Qinghai Province</v>
      </c>
      <c r="C349" s="1" t="s">
        <v>321</v>
      </c>
      <c r="D349" s="1" t="str">
        <f>IFERROR(__xludf.DUMMYFUNCTION("GOOGLETRANSLATE(C349, ""zh-CN"", ""en"")"),"Changsha City")</f>
        <v>Changsha City</v>
      </c>
      <c r="E349" s="1" t="s">
        <v>340</v>
      </c>
      <c r="F349" s="1" t="str">
        <f>IFERROR(__xludf.DUMMYFUNCTION("GOOGLETRANSLATE(E349, ""zh-CN"", ""en"")"),"Wangcheng District")</f>
        <v>Wangcheng District</v>
      </c>
      <c r="G349" s="1">
        <v>4.30112E11</v>
      </c>
    </row>
    <row r="350">
      <c r="A350" s="1" t="s">
        <v>320</v>
      </c>
      <c r="B350" s="1" t="str">
        <f>IFERROR(__xludf.DUMMYFUNCTION("GOOGLETRANSLATE(A276, ""zh-CN"", ""en"")"),"Qinghai Province")</f>
        <v>Qinghai Province</v>
      </c>
      <c r="C350" s="1" t="s">
        <v>321</v>
      </c>
      <c r="D350" s="1" t="str">
        <f>IFERROR(__xludf.DUMMYFUNCTION("GOOGLETRANSLATE(C350, ""zh-CN"", ""en"")"),"Changsha City")</f>
        <v>Changsha City</v>
      </c>
      <c r="E350" s="1" t="s">
        <v>341</v>
      </c>
      <c r="F350" s="1" t="str">
        <f>IFERROR(__xludf.DUMMYFUNCTION("GOOGLETRANSLATE(E350, ""zh-CN"", ""en"")"),"Changsha County")</f>
        <v>Changsha County</v>
      </c>
      <c r="G350" s="1">
        <v>4.30121E11</v>
      </c>
    </row>
    <row r="351">
      <c r="A351" s="1" t="s">
        <v>320</v>
      </c>
      <c r="B351" s="1" t="str">
        <f>IFERROR(__xludf.DUMMYFUNCTION("GOOGLETRANSLATE(A277, ""zh-CN"", ""en"")"),"Qinghai Province")</f>
        <v>Qinghai Province</v>
      </c>
      <c r="C351" s="1" t="s">
        <v>321</v>
      </c>
      <c r="D351" s="1" t="str">
        <f>IFERROR(__xludf.DUMMYFUNCTION("GOOGLETRANSLATE(C351, ""zh-CN"", ""en"")"),"Changsha City")</f>
        <v>Changsha City</v>
      </c>
      <c r="E351" s="1" t="s">
        <v>342</v>
      </c>
      <c r="F351" s="1" t="str">
        <f>IFERROR(__xludf.DUMMYFUNCTION("GOOGLETRANSLATE(E351, ""zh-CN"", ""en"")"),"Liuyang City")</f>
        <v>Liuyang City</v>
      </c>
      <c r="G351" s="1">
        <v>4.30181E11</v>
      </c>
    </row>
    <row r="352">
      <c r="A352" s="1" t="s">
        <v>320</v>
      </c>
      <c r="B352" s="1" t="str">
        <f>IFERROR(__xludf.DUMMYFUNCTION("GOOGLETRANSLATE(A278, ""zh-CN"", ""en"")"),"Qinghai Province")</f>
        <v>Qinghai Province</v>
      </c>
      <c r="C352" s="1" t="s">
        <v>321</v>
      </c>
      <c r="D352" s="1" t="str">
        <f>IFERROR(__xludf.DUMMYFUNCTION("GOOGLETRANSLATE(C352, ""zh-CN"", ""en"")"),"Changsha City")</f>
        <v>Changsha City</v>
      </c>
      <c r="E352" s="1" t="s">
        <v>343</v>
      </c>
      <c r="F352" s="1" t="str">
        <f>IFERROR(__xludf.DUMMYFUNCTION("GOOGLETRANSLATE(E352, ""zh-CN"", ""en"")"),"Ningxiang City")</f>
        <v>Ningxiang City</v>
      </c>
      <c r="G352" s="1">
        <v>4.30182E11</v>
      </c>
    </row>
    <row r="353">
      <c r="A353" s="1" t="s">
        <v>320</v>
      </c>
      <c r="B353" s="1" t="str">
        <f>IFERROR(__xludf.DUMMYFUNCTION("GOOGLETRANSLATE(A279, ""zh-CN"", ""en"")"),"Qinghai Province")</f>
        <v>Qinghai Province</v>
      </c>
      <c r="C353" s="1" t="s">
        <v>322</v>
      </c>
      <c r="D353" s="1" t="str">
        <f>IFERROR(__xludf.DUMMYFUNCTION("GOOGLETRANSLATE(C353, ""zh-CN"", ""en"")"),"Zhuzhou City")</f>
        <v>Zhuzhou City</v>
      </c>
      <c r="E353" s="1" t="s">
        <v>24</v>
      </c>
      <c r="F353" s="1" t="str">
        <f>IFERROR(__xludf.DUMMYFUNCTION("GOOGLETRANSLATE(E353, ""zh-CN"", ""en"")"),"City area")</f>
        <v>City area</v>
      </c>
      <c r="G353" s="1">
        <v>4.30201E11</v>
      </c>
    </row>
    <row r="354">
      <c r="A354" s="1" t="s">
        <v>320</v>
      </c>
      <c r="B354" s="1" t="str">
        <f>IFERROR(__xludf.DUMMYFUNCTION("GOOGLETRANSLATE(A280, ""zh-CN"", ""en"")"),"Qinghai Province")</f>
        <v>Qinghai Province</v>
      </c>
      <c r="C354" s="1" t="s">
        <v>322</v>
      </c>
      <c r="D354" s="1" t="str">
        <f>IFERROR(__xludf.DUMMYFUNCTION("GOOGLETRANSLATE(C354, ""zh-CN"", ""en"")"),"Zhuzhou City")</f>
        <v>Zhuzhou City</v>
      </c>
      <c r="E354" s="1" t="s">
        <v>344</v>
      </c>
      <c r="F354" s="1" t="str">
        <f>IFERROR(__xludf.DUMMYFUNCTION("GOOGLETRANSLATE(E354, ""zh-CN"", ""en"")"),"Lotus pond")</f>
        <v>Lotus pond</v>
      </c>
      <c r="G354" s="1">
        <v>4.30202E11</v>
      </c>
    </row>
    <row r="355">
      <c r="A355" s="1" t="s">
        <v>320</v>
      </c>
      <c r="B355" s="1" t="str">
        <f>IFERROR(__xludf.DUMMYFUNCTION("GOOGLETRANSLATE(A281, ""zh-CN"", ""en"")"),"Qinghai Province")</f>
        <v>Qinghai Province</v>
      </c>
      <c r="C355" s="1" t="s">
        <v>322</v>
      </c>
      <c r="D355" s="1" t="str">
        <f>IFERROR(__xludf.DUMMYFUNCTION("GOOGLETRANSLATE(C355, ""zh-CN"", ""en"")"),"Zhuzhou City")</f>
        <v>Zhuzhou City</v>
      </c>
      <c r="E355" s="1" t="s">
        <v>345</v>
      </c>
      <c r="F355" s="1" t="str">
        <f>IFERROR(__xludf.DUMMYFUNCTION("GOOGLETRANSLATE(E355, ""zh-CN"", ""en"")"),"Lujing District")</f>
        <v>Lujing District</v>
      </c>
      <c r="G355" s="1">
        <v>4.30203E11</v>
      </c>
    </row>
    <row r="356">
      <c r="A356" s="1" t="s">
        <v>320</v>
      </c>
      <c r="B356" s="1" t="str">
        <f>IFERROR(__xludf.DUMMYFUNCTION("GOOGLETRANSLATE(A282, ""zh-CN"", ""en"")"),"Qinghai Province")</f>
        <v>Qinghai Province</v>
      </c>
      <c r="C356" s="1" t="s">
        <v>322</v>
      </c>
      <c r="D356" s="1" t="str">
        <f>IFERROR(__xludf.DUMMYFUNCTION("GOOGLETRANSLATE(C356, ""zh-CN"", ""en"")"),"Zhuzhou City")</f>
        <v>Zhuzhou City</v>
      </c>
      <c r="E356" s="1" t="s">
        <v>346</v>
      </c>
      <c r="F356" s="1" t="str">
        <f>IFERROR(__xludf.DUMMYFUNCTION("GOOGLETRANSLATE(E356, ""zh-CN"", ""en"")"),"Shifeng District")</f>
        <v>Shifeng District</v>
      </c>
      <c r="G356" s="1">
        <v>4.30204E11</v>
      </c>
    </row>
    <row r="357">
      <c r="A357" s="1" t="s">
        <v>320</v>
      </c>
      <c r="B357" s="1" t="str">
        <f>IFERROR(__xludf.DUMMYFUNCTION("GOOGLETRANSLATE(A283, ""zh-CN"", ""en"")"),"Qinghai Province")</f>
        <v>Qinghai Province</v>
      </c>
      <c r="C357" s="1" t="s">
        <v>322</v>
      </c>
      <c r="D357" s="1" t="str">
        <f>IFERROR(__xludf.DUMMYFUNCTION("GOOGLETRANSLATE(C357, ""zh-CN"", ""en"")"),"Zhuzhou City")</f>
        <v>Zhuzhou City</v>
      </c>
      <c r="E357" s="1" t="s">
        <v>347</v>
      </c>
      <c r="F357" s="1" t="str">
        <f>IFERROR(__xludf.DUMMYFUNCTION("GOOGLETRANSLATE(E357, ""zh-CN"", ""en"")"),"Tianyuan District")</f>
        <v>Tianyuan District</v>
      </c>
      <c r="G357" s="1">
        <v>4.30211E11</v>
      </c>
    </row>
    <row r="358">
      <c r="A358" s="1" t="s">
        <v>320</v>
      </c>
      <c r="B358" s="1" t="str">
        <f>IFERROR(__xludf.DUMMYFUNCTION("GOOGLETRANSLATE(A284, ""zh-CN"", ""en"")"),"Qinghai Province")</f>
        <v>Qinghai Province</v>
      </c>
      <c r="C358" s="1" t="s">
        <v>322</v>
      </c>
      <c r="D358" s="1" t="str">
        <f>IFERROR(__xludf.DUMMYFUNCTION("GOOGLETRANSLATE(C358, ""zh-CN"", ""en"")"),"Zhuzhou City")</f>
        <v>Zhuzhou City</v>
      </c>
      <c r="E358" s="1" t="s">
        <v>348</v>
      </c>
      <c r="F358" s="1" t="str">
        <f>IFERROR(__xludf.DUMMYFUNCTION("GOOGLETRANSLATE(E358, ""zh-CN"", ""en"")"),"Kukou District")</f>
        <v>Kukou District</v>
      </c>
      <c r="G358" s="1">
        <v>4.30212E11</v>
      </c>
    </row>
    <row r="359">
      <c r="A359" s="1" t="s">
        <v>320</v>
      </c>
      <c r="B359" s="1" t="str">
        <f>IFERROR(__xludf.DUMMYFUNCTION("GOOGLETRANSLATE(A285, ""zh-CN"", ""en"")"),"Qinghai Province")</f>
        <v>Qinghai Province</v>
      </c>
      <c r="C359" s="1" t="s">
        <v>322</v>
      </c>
      <c r="D359" s="1" t="str">
        <f>IFERROR(__xludf.DUMMYFUNCTION("GOOGLETRANSLATE(C359, ""zh-CN"", ""en"")"),"Zhuzhou City")</f>
        <v>Zhuzhou City</v>
      </c>
      <c r="E359" s="1" t="s">
        <v>349</v>
      </c>
      <c r="F359" s="1" t="str">
        <f>IFERROR(__xludf.DUMMYFUNCTION("GOOGLETRANSLATE(E359, ""zh-CN"", ""en"")"),"You County")</f>
        <v>You County</v>
      </c>
      <c r="G359" s="1">
        <v>4.30223E11</v>
      </c>
    </row>
    <row r="360">
      <c r="A360" s="1" t="s">
        <v>320</v>
      </c>
      <c r="B360" s="1" t="str">
        <f>IFERROR(__xludf.DUMMYFUNCTION("GOOGLETRANSLATE(A286, ""zh-CN"", ""en"")"),"Qinghai Province")</f>
        <v>Qinghai Province</v>
      </c>
      <c r="C360" s="1" t="s">
        <v>322</v>
      </c>
      <c r="D360" s="1" t="str">
        <f>IFERROR(__xludf.DUMMYFUNCTION("GOOGLETRANSLATE(C360, ""zh-CN"", ""en"")"),"Zhuzhou City")</f>
        <v>Zhuzhou City</v>
      </c>
      <c r="E360" s="1" t="s">
        <v>350</v>
      </c>
      <c r="F360" s="1" t="str">
        <f>IFERROR(__xludf.DUMMYFUNCTION("GOOGLETRANSLATE(E360, ""zh-CN"", ""en"")"),"Chaling County")</f>
        <v>Chaling County</v>
      </c>
      <c r="G360" s="1">
        <v>4.30224E11</v>
      </c>
    </row>
    <row r="361">
      <c r="A361" s="1" t="s">
        <v>320</v>
      </c>
      <c r="B361" s="1" t="str">
        <f>IFERROR(__xludf.DUMMYFUNCTION("GOOGLETRANSLATE(A287, ""zh-CN"", ""en"")"),"Qinghai Province")</f>
        <v>Qinghai Province</v>
      </c>
      <c r="C361" s="1" t="s">
        <v>322</v>
      </c>
      <c r="D361" s="1" t="str">
        <f>IFERROR(__xludf.DUMMYFUNCTION("GOOGLETRANSLATE(C361, ""zh-CN"", ""en"")"),"Zhuzhou City")</f>
        <v>Zhuzhou City</v>
      </c>
      <c r="E361" s="1" t="s">
        <v>351</v>
      </c>
      <c r="F361" s="1" t="str">
        <f>IFERROR(__xludf.DUMMYFUNCTION("GOOGLETRANSLATE(E361, ""zh-CN"", ""en"")"),"Yanling County")</f>
        <v>Yanling County</v>
      </c>
      <c r="G361" s="1">
        <v>4.30225E11</v>
      </c>
    </row>
    <row r="362">
      <c r="A362" s="1" t="s">
        <v>320</v>
      </c>
      <c r="B362" s="1" t="str">
        <f>IFERROR(__xludf.DUMMYFUNCTION("GOOGLETRANSLATE(A288, ""zh-CN"", ""en"")"),"Qinghai Province")</f>
        <v>Qinghai Province</v>
      </c>
      <c r="C362" s="1" t="s">
        <v>322</v>
      </c>
      <c r="D362" s="1" t="str">
        <f>IFERROR(__xludf.DUMMYFUNCTION("GOOGLETRANSLATE(C362, ""zh-CN"", ""en"")"),"Zhuzhou City")</f>
        <v>Zhuzhou City</v>
      </c>
      <c r="E362" s="1" t="s">
        <v>352</v>
      </c>
      <c r="F362" s="1" t="str">
        <f>IFERROR(__xludf.DUMMYFUNCTION("GOOGLETRANSLATE(E362, ""zh-CN"", ""en"")"),"Liling City")</f>
        <v>Liling City</v>
      </c>
      <c r="G362" s="1">
        <v>4.30281E11</v>
      </c>
    </row>
    <row r="363">
      <c r="A363" s="1" t="s">
        <v>320</v>
      </c>
      <c r="B363" s="1" t="str">
        <f>IFERROR(__xludf.DUMMYFUNCTION("GOOGLETRANSLATE(A289, ""zh-CN"", ""en"")"),"Qinghai Province")</f>
        <v>Qinghai Province</v>
      </c>
      <c r="C363" s="1" t="s">
        <v>323</v>
      </c>
      <c r="D363" s="1" t="str">
        <f>IFERROR(__xludf.DUMMYFUNCTION("GOOGLETRANSLATE(C363, ""zh-CN"", ""en"")"),"Xiangtan City")</f>
        <v>Xiangtan City</v>
      </c>
      <c r="E363" s="1" t="s">
        <v>24</v>
      </c>
      <c r="F363" s="1" t="str">
        <f>IFERROR(__xludf.DUMMYFUNCTION("GOOGLETRANSLATE(E363, ""zh-CN"", ""en"")"),"City area")</f>
        <v>City area</v>
      </c>
      <c r="G363" s="1">
        <v>4.30301E11</v>
      </c>
    </row>
    <row r="364">
      <c r="A364" s="1" t="s">
        <v>320</v>
      </c>
      <c r="B364" s="1" t="str">
        <f>IFERROR(__xludf.DUMMYFUNCTION("GOOGLETRANSLATE(A290, ""zh-CN"", ""en"")"),"Qinghai Province")</f>
        <v>Qinghai Province</v>
      </c>
      <c r="C364" s="1" t="s">
        <v>323</v>
      </c>
      <c r="D364" s="1" t="str">
        <f>IFERROR(__xludf.DUMMYFUNCTION("GOOGLETRANSLATE(C364, ""zh-CN"", ""en"")"),"Xiangtan City")</f>
        <v>Xiangtan City</v>
      </c>
      <c r="E364" s="1" t="s">
        <v>353</v>
      </c>
      <c r="F364" s="1" t="str">
        <f>IFERROR(__xludf.DUMMYFUNCTION("GOOGLETRANSLATE(E364, ""zh-CN"", ""en"")"),"Yuhu District")</f>
        <v>Yuhu District</v>
      </c>
      <c r="G364" s="1">
        <v>4.30302E11</v>
      </c>
    </row>
    <row r="365">
      <c r="A365" s="1" t="s">
        <v>320</v>
      </c>
      <c r="B365" s="1" t="str">
        <f>IFERROR(__xludf.DUMMYFUNCTION("GOOGLETRANSLATE(A291, ""zh-CN"", ""en"")"),"Qinghai Province")</f>
        <v>Qinghai Province</v>
      </c>
      <c r="C365" s="1" t="s">
        <v>323</v>
      </c>
      <c r="D365" s="1" t="str">
        <f>IFERROR(__xludf.DUMMYFUNCTION("GOOGLETRANSLATE(C365, ""zh-CN"", ""en"")"),"Xiangtan City")</f>
        <v>Xiangtan City</v>
      </c>
      <c r="E365" s="1" t="s">
        <v>354</v>
      </c>
      <c r="F365" s="1" t="str">
        <f>IFERROR(__xludf.DUMMYFUNCTION("GOOGLETRANSLATE(E365, ""zh-CN"", ""en"")"),"Yuetang District")</f>
        <v>Yuetang District</v>
      </c>
      <c r="G365" s="1">
        <v>4.30304E11</v>
      </c>
    </row>
    <row r="366">
      <c r="A366" s="1" t="s">
        <v>320</v>
      </c>
      <c r="B366" s="1" t="str">
        <f>IFERROR(__xludf.DUMMYFUNCTION("GOOGLETRANSLATE(A292, ""zh-CN"", ""en"")"),"Qinghai Province")</f>
        <v>Qinghai Province</v>
      </c>
      <c r="C366" s="1" t="s">
        <v>323</v>
      </c>
      <c r="D366" s="1" t="str">
        <f>IFERROR(__xludf.DUMMYFUNCTION("GOOGLETRANSLATE(C366, ""zh-CN"", ""en"")"),"Xiangtan City")</f>
        <v>Xiangtan City</v>
      </c>
      <c r="E366" s="1" t="s">
        <v>355</v>
      </c>
      <c r="F366" s="1" t="str">
        <f>IFERROR(__xludf.DUMMYFUNCTION("GOOGLETRANSLATE(E366, ""zh-CN"", ""en"")"),"Xiangtan County")</f>
        <v>Xiangtan County</v>
      </c>
      <c r="G366" s="1">
        <v>4.30321E11</v>
      </c>
    </row>
    <row r="367">
      <c r="A367" s="1" t="s">
        <v>320</v>
      </c>
      <c r="B367" s="1" t="str">
        <f>IFERROR(__xludf.DUMMYFUNCTION("GOOGLETRANSLATE(A293, ""zh-CN"", ""en"")"),"Qinghai Province")</f>
        <v>Qinghai Province</v>
      </c>
      <c r="C367" s="1" t="s">
        <v>323</v>
      </c>
      <c r="D367" s="1" t="str">
        <f>IFERROR(__xludf.DUMMYFUNCTION("GOOGLETRANSLATE(C367, ""zh-CN"", ""en"")"),"Xiangtan City")</f>
        <v>Xiangtan City</v>
      </c>
      <c r="E367" s="1" t="s">
        <v>356</v>
      </c>
      <c r="F367" s="1" t="str">
        <f>IFERROR(__xludf.DUMMYFUNCTION("GOOGLETRANSLATE(E367, ""zh-CN"", ""en"")"),"Hunan Xiangtan High -tech Industrial Park")</f>
        <v>Hunan Xiangtan High -tech Industrial Park</v>
      </c>
      <c r="G367" s="1">
        <v>4.30371E11</v>
      </c>
    </row>
    <row r="368">
      <c r="A368" s="1" t="s">
        <v>320</v>
      </c>
      <c r="B368" s="1" t="str">
        <f>IFERROR(__xludf.DUMMYFUNCTION("GOOGLETRANSLATE(A294, ""zh-CN"", ""en"")"),"Qinghai Province")</f>
        <v>Qinghai Province</v>
      </c>
      <c r="C368" s="1" t="s">
        <v>323</v>
      </c>
      <c r="D368" s="1" t="str">
        <f>IFERROR(__xludf.DUMMYFUNCTION("GOOGLETRANSLATE(C368, ""zh-CN"", ""en"")"),"Xiangtan City")</f>
        <v>Xiangtan City</v>
      </c>
      <c r="E368" s="1" t="s">
        <v>357</v>
      </c>
      <c r="F368" s="1" t="str">
        <f>IFERROR(__xludf.DUMMYFUNCTION("GOOGLETRANSLATE(E368, ""zh-CN"", ""en"")"),"Xiangtan Zhaoshan Demonstration Zone")</f>
        <v>Xiangtan Zhaoshan Demonstration Zone</v>
      </c>
      <c r="G368" s="1">
        <v>4.30372E11</v>
      </c>
    </row>
    <row r="369">
      <c r="A369" s="1" t="s">
        <v>320</v>
      </c>
      <c r="B369" s="1" t="str">
        <f>IFERROR(__xludf.DUMMYFUNCTION("GOOGLETRANSLATE(A295, ""zh-CN"", ""en"")"),"Qinghai Province")</f>
        <v>Qinghai Province</v>
      </c>
      <c r="C369" s="1" t="s">
        <v>323</v>
      </c>
      <c r="D369" s="1" t="str">
        <f>IFERROR(__xludf.DUMMYFUNCTION("GOOGLETRANSLATE(C369, ""zh-CN"", ""en"")"),"Xiangtan City")</f>
        <v>Xiangtan City</v>
      </c>
      <c r="E369" s="1" t="s">
        <v>358</v>
      </c>
      <c r="F369" s="1" t="str">
        <f>IFERROR(__xludf.DUMMYFUNCTION("GOOGLETRANSLATE(E369, ""zh-CN"", ""en"")"),"Xiangtan Jiuhua Demonstration Zone")</f>
        <v>Xiangtan Jiuhua Demonstration Zone</v>
      </c>
      <c r="G369" s="1">
        <v>4.30373E11</v>
      </c>
    </row>
    <row r="370">
      <c r="A370" s="1" t="s">
        <v>320</v>
      </c>
      <c r="B370" s="1" t="str">
        <f>IFERROR(__xludf.DUMMYFUNCTION("GOOGLETRANSLATE(A296, ""zh-CN"", ""en"")"),"Qinghai Province")</f>
        <v>Qinghai Province</v>
      </c>
      <c r="C370" s="1" t="s">
        <v>323</v>
      </c>
      <c r="D370" s="1" t="str">
        <f>IFERROR(__xludf.DUMMYFUNCTION("GOOGLETRANSLATE(C370, ""zh-CN"", ""en"")"),"Xiangtan City")</f>
        <v>Xiangtan City</v>
      </c>
      <c r="E370" s="1" t="s">
        <v>359</v>
      </c>
      <c r="F370" s="1" t="str">
        <f>IFERROR(__xludf.DUMMYFUNCTION("GOOGLETRANSLATE(E370, ""zh-CN"", ""en"")"),"Xiangxiang City")</f>
        <v>Xiangxiang City</v>
      </c>
      <c r="G370" s="1">
        <v>4.30381E11</v>
      </c>
    </row>
    <row r="371">
      <c r="A371" s="1" t="s">
        <v>320</v>
      </c>
      <c r="B371" s="1" t="str">
        <f>IFERROR(__xludf.DUMMYFUNCTION("GOOGLETRANSLATE(A297, ""zh-CN"", ""en"")"),"Qinghai Province")</f>
        <v>Qinghai Province</v>
      </c>
      <c r="C371" s="1" t="s">
        <v>323</v>
      </c>
      <c r="D371" s="1" t="str">
        <f>IFERROR(__xludf.DUMMYFUNCTION("GOOGLETRANSLATE(C371, ""zh-CN"", ""en"")"),"Xiangtan City")</f>
        <v>Xiangtan City</v>
      </c>
      <c r="E371" s="1" t="s">
        <v>360</v>
      </c>
      <c r="F371" s="1" t="str">
        <f>IFERROR(__xludf.DUMMYFUNCTION("GOOGLETRANSLATE(E371, ""zh-CN"", ""en"")"),"Shaoshan City")</f>
        <v>Shaoshan City</v>
      </c>
      <c r="G371" s="1">
        <v>4.30382E11</v>
      </c>
    </row>
    <row r="372">
      <c r="A372" s="1" t="s">
        <v>320</v>
      </c>
      <c r="B372" s="1" t="str">
        <f>IFERROR(__xludf.DUMMYFUNCTION("GOOGLETRANSLATE(A298, ""zh-CN"", ""en"")"),"Qinghai Province")</f>
        <v>Qinghai Province</v>
      </c>
      <c r="C372" s="1" t="s">
        <v>324</v>
      </c>
      <c r="D372" s="1" t="str">
        <f>IFERROR(__xludf.DUMMYFUNCTION("GOOGLETRANSLATE(C372, ""zh-CN"", ""en"")"),"Hengyang City")</f>
        <v>Hengyang City</v>
      </c>
      <c r="E372" s="1" t="s">
        <v>24</v>
      </c>
      <c r="F372" s="1" t="str">
        <f>IFERROR(__xludf.DUMMYFUNCTION("GOOGLETRANSLATE(E372, ""zh-CN"", ""en"")"),"City area")</f>
        <v>City area</v>
      </c>
      <c r="G372" s="1">
        <v>4.30401E11</v>
      </c>
    </row>
    <row r="373">
      <c r="A373" s="1" t="s">
        <v>320</v>
      </c>
      <c r="B373" s="1" t="str">
        <f>IFERROR(__xludf.DUMMYFUNCTION("GOOGLETRANSLATE(A299, ""zh-CN"", ""en"")"),"Qinghai Province")</f>
        <v>Qinghai Province</v>
      </c>
      <c r="C373" s="1" t="s">
        <v>324</v>
      </c>
      <c r="D373" s="1" t="str">
        <f>IFERROR(__xludf.DUMMYFUNCTION("GOOGLETRANSLATE(C373, ""zh-CN"", ""en"")"),"Hengyang City")</f>
        <v>Hengyang City</v>
      </c>
      <c r="E373" s="1" t="s">
        <v>361</v>
      </c>
      <c r="F373" s="1" t="str">
        <f>IFERROR(__xludf.DUMMYFUNCTION("GOOGLETRANSLATE(E373, ""zh-CN"", ""en"")"),"Zhuhui District")</f>
        <v>Zhuhui District</v>
      </c>
      <c r="G373" s="1">
        <v>4.30405E11</v>
      </c>
    </row>
    <row r="374">
      <c r="A374" s="1" t="s">
        <v>320</v>
      </c>
      <c r="B374" s="1" t="str">
        <f>IFERROR(__xludf.DUMMYFUNCTION("GOOGLETRANSLATE(A300, ""zh-CN"", ""en"")"),"Qinghai Province")</f>
        <v>Qinghai Province</v>
      </c>
      <c r="C374" s="1" t="s">
        <v>324</v>
      </c>
      <c r="D374" s="1" t="str">
        <f>IFERROR(__xludf.DUMMYFUNCTION("GOOGLETRANSLATE(C374, ""zh-CN"", ""en"")"),"Hengyang City")</f>
        <v>Hengyang City</v>
      </c>
      <c r="E374" s="1" t="s">
        <v>362</v>
      </c>
      <c r="F374" s="1" t="str">
        <f>IFERROR(__xludf.DUMMYFUNCTION("GOOGLETRANSLATE(E374, ""zh-CN"", ""en"")"),"Yanfeng District")</f>
        <v>Yanfeng District</v>
      </c>
      <c r="G374" s="1">
        <v>4.30406E11</v>
      </c>
    </row>
    <row r="375">
      <c r="A375" s="1" t="s">
        <v>320</v>
      </c>
      <c r="B375" s="1" t="str">
        <f>IFERROR(__xludf.DUMMYFUNCTION("GOOGLETRANSLATE(A301, ""zh-CN"", ""en"")"),"Qinghai Province")</f>
        <v>Qinghai Province</v>
      </c>
      <c r="C375" s="1" t="s">
        <v>324</v>
      </c>
      <c r="D375" s="1" t="str">
        <f>IFERROR(__xludf.DUMMYFUNCTION("GOOGLETRANSLATE(C375, ""zh-CN"", ""en"")"),"Hengyang City")</f>
        <v>Hengyang City</v>
      </c>
      <c r="E375" s="1" t="s">
        <v>363</v>
      </c>
      <c r="F375" s="1" t="str">
        <f>IFERROR(__xludf.DUMMYFUNCTION("GOOGLETRANSLATE(E375, ""zh-CN"", ""en"")"),"Stone drum district")</f>
        <v>Stone drum district</v>
      </c>
      <c r="G375" s="1">
        <v>4.30407E11</v>
      </c>
    </row>
    <row r="376">
      <c r="A376" s="1" t="s">
        <v>320</v>
      </c>
      <c r="B376" s="1" t="str">
        <f>IFERROR(__xludf.DUMMYFUNCTION("GOOGLETRANSLATE(A302, ""zh-CN"", ""en"")"),"Qinghai Province")</f>
        <v>Qinghai Province</v>
      </c>
      <c r="C376" s="1" t="s">
        <v>324</v>
      </c>
      <c r="D376" s="1" t="str">
        <f>IFERROR(__xludf.DUMMYFUNCTION("GOOGLETRANSLATE(C376, ""zh-CN"", ""en"")"),"Hengyang City")</f>
        <v>Hengyang City</v>
      </c>
      <c r="E376" s="1" t="s">
        <v>364</v>
      </c>
      <c r="F376" s="1" t="str">
        <f>IFERROR(__xludf.DUMMYFUNCTION("GOOGLETRANSLATE(E376, ""zh-CN"", ""en"")"),"Steaming")</f>
        <v>Steaming</v>
      </c>
      <c r="G376" s="1">
        <v>4.30408E11</v>
      </c>
    </row>
    <row r="377">
      <c r="A377" s="1" t="s">
        <v>320</v>
      </c>
      <c r="B377" s="1" t="str">
        <f>IFERROR(__xludf.DUMMYFUNCTION("GOOGLETRANSLATE(A303, ""zh-CN"", ""en"")"),"Qinghai Province")</f>
        <v>Qinghai Province</v>
      </c>
      <c r="C377" s="1" t="s">
        <v>324</v>
      </c>
      <c r="D377" s="1" t="str">
        <f>IFERROR(__xludf.DUMMYFUNCTION("GOOGLETRANSLATE(C377, ""zh-CN"", ""en"")"),"Hengyang City")</f>
        <v>Hengyang City</v>
      </c>
      <c r="E377" s="1" t="s">
        <v>365</v>
      </c>
      <c r="F377" s="1" t="str">
        <f>IFERROR(__xludf.DUMMYFUNCTION("GOOGLETRANSLATE(E377, ""zh-CN"", ""en"")"),"Nanyue District")</f>
        <v>Nanyue District</v>
      </c>
      <c r="G377" s="1">
        <v>4.30412E11</v>
      </c>
    </row>
    <row r="378">
      <c r="A378" s="1" t="s">
        <v>320</v>
      </c>
      <c r="B378" s="1" t="str">
        <f>IFERROR(__xludf.DUMMYFUNCTION("GOOGLETRANSLATE(A304, ""zh-CN"", ""en"")"),"Qinghai Province")</f>
        <v>Qinghai Province</v>
      </c>
      <c r="C378" s="1" t="s">
        <v>324</v>
      </c>
      <c r="D378" s="1" t="str">
        <f>IFERROR(__xludf.DUMMYFUNCTION("GOOGLETRANSLATE(C378, ""zh-CN"", ""en"")"),"Hengyang City")</f>
        <v>Hengyang City</v>
      </c>
      <c r="E378" s="1" t="s">
        <v>366</v>
      </c>
      <c r="F378" s="1" t="str">
        <f>IFERROR(__xludf.DUMMYFUNCTION("GOOGLETRANSLATE(E378, ""zh-CN"", ""en"")"),"Hengyang County")</f>
        <v>Hengyang County</v>
      </c>
      <c r="G378" s="1">
        <v>4.30421E11</v>
      </c>
    </row>
    <row r="379">
      <c r="A379" s="1" t="s">
        <v>320</v>
      </c>
      <c r="B379" s="1" t="str">
        <f>IFERROR(__xludf.DUMMYFUNCTION("GOOGLETRANSLATE(A305, ""zh-CN"", ""en"")"),"Qinghai Province")</f>
        <v>Qinghai Province</v>
      </c>
      <c r="C379" s="1" t="s">
        <v>324</v>
      </c>
      <c r="D379" s="1" t="str">
        <f>IFERROR(__xludf.DUMMYFUNCTION("GOOGLETRANSLATE(C379, ""zh-CN"", ""en"")"),"Hengyang City")</f>
        <v>Hengyang City</v>
      </c>
      <c r="E379" s="1" t="s">
        <v>367</v>
      </c>
      <c r="F379" s="1" t="str">
        <f>IFERROR(__xludf.DUMMYFUNCTION("GOOGLETRANSLATE(E379, ""zh-CN"", ""en"")"),"Hengnan County")</f>
        <v>Hengnan County</v>
      </c>
      <c r="G379" s="1">
        <v>4.30422E11</v>
      </c>
    </row>
    <row r="380">
      <c r="A380" s="1" t="s">
        <v>320</v>
      </c>
      <c r="B380" s="1" t="str">
        <f>IFERROR(__xludf.DUMMYFUNCTION("GOOGLETRANSLATE(A306, ""zh-CN"", ""en"")"),"Qinghai Province")</f>
        <v>Qinghai Province</v>
      </c>
      <c r="C380" s="1" t="s">
        <v>324</v>
      </c>
      <c r="D380" s="1" t="str">
        <f>IFERROR(__xludf.DUMMYFUNCTION("GOOGLETRANSLATE(C380, ""zh-CN"", ""en"")"),"Hengyang City")</f>
        <v>Hengyang City</v>
      </c>
      <c r="E380" s="1" t="s">
        <v>368</v>
      </c>
      <c r="F380" s="1" t="str">
        <f>IFERROR(__xludf.DUMMYFUNCTION("GOOGLETRANSLATE(E380, ""zh-CN"", ""en"")"),"Hengshan County")</f>
        <v>Hengshan County</v>
      </c>
      <c r="G380" s="1">
        <v>4.30423E11</v>
      </c>
    </row>
    <row r="381">
      <c r="A381" s="1" t="s">
        <v>320</v>
      </c>
      <c r="B381" s="1" t="str">
        <f>IFERROR(__xludf.DUMMYFUNCTION("GOOGLETRANSLATE(A307, ""zh-CN"", ""en"")"),"Qinghai Province")</f>
        <v>Qinghai Province</v>
      </c>
      <c r="C381" s="1" t="s">
        <v>324</v>
      </c>
      <c r="D381" s="1" t="str">
        <f>IFERROR(__xludf.DUMMYFUNCTION("GOOGLETRANSLATE(C381, ""zh-CN"", ""en"")"),"Hengyang City")</f>
        <v>Hengyang City</v>
      </c>
      <c r="E381" s="1" t="s">
        <v>369</v>
      </c>
      <c r="F381" s="1" t="str">
        <f>IFERROR(__xludf.DUMMYFUNCTION("GOOGLETRANSLATE(E381, ""zh-CN"", ""en"")"),"Hengdong County")</f>
        <v>Hengdong County</v>
      </c>
      <c r="G381" s="1">
        <v>4.30424E11</v>
      </c>
    </row>
    <row r="382">
      <c r="A382" s="1" t="s">
        <v>320</v>
      </c>
      <c r="B382" s="1" t="str">
        <f>IFERROR(__xludf.DUMMYFUNCTION("GOOGLETRANSLATE(A308, ""zh-CN"", ""en"")"),"Qinghai Province")</f>
        <v>Qinghai Province</v>
      </c>
      <c r="C382" s="1" t="s">
        <v>324</v>
      </c>
      <c r="D382" s="1" t="str">
        <f>IFERROR(__xludf.DUMMYFUNCTION("GOOGLETRANSLATE(C382, ""zh-CN"", ""en"")"),"Hengyang City")</f>
        <v>Hengyang City</v>
      </c>
      <c r="E382" s="1" t="s">
        <v>370</v>
      </c>
      <c r="F382" s="1" t="str">
        <f>IFERROR(__xludf.DUMMYFUNCTION("GOOGLETRANSLATE(E382, ""zh-CN"", ""en"")"),"Qidong County")</f>
        <v>Qidong County</v>
      </c>
      <c r="G382" s="1">
        <v>4.30426E11</v>
      </c>
    </row>
    <row r="383">
      <c r="A383" s="1" t="s">
        <v>320</v>
      </c>
      <c r="B383" s="1" t="str">
        <f>IFERROR(__xludf.DUMMYFUNCTION("GOOGLETRANSLATE(A309, ""zh-CN"", ""en"")"),"Qinghai Province")</f>
        <v>Qinghai Province</v>
      </c>
      <c r="C383" s="1" t="s">
        <v>324</v>
      </c>
      <c r="D383" s="1" t="str">
        <f>IFERROR(__xludf.DUMMYFUNCTION("GOOGLETRANSLATE(C383, ""zh-CN"", ""en"")"),"Hengyang City")</f>
        <v>Hengyang City</v>
      </c>
      <c r="E383" s="1" t="s">
        <v>371</v>
      </c>
      <c r="F383" s="1" t="str">
        <f>IFERROR(__xludf.DUMMYFUNCTION("GOOGLETRANSLATE(E383, ""zh-CN"", ""en"")"),"Hengyang Comprehensive Free Trade Zone")</f>
        <v>Hengyang Comprehensive Free Trade Zone</v>
      </c>
      <c r="G383" s="1">
        <v>4.30471E11</v>
      </c>
    </row>
    <row r="384">
      <c r="A384" s="1" t="s">
        <v>320</v>
      </c>
      <c r="B384" s="1" t="str">
        <f>IFERROR(__xludf.DUMMYFUNCTION("GOOGLETRANSLATE(A310, ""zh-CN"", ""en"")"),"Qinghai Province")</f>
        <v>Qinghai Province</v>
      </c>
      <c r="C384" s="1" t="s">
        <v>324</v>
      </c>
      <c r="D384" s="1" t="str">
        <f>IFERROR(__xludf.DUMMYFUNCTION("GOOGLETRANSLATE(C384, ""zh-CN"", ""en"")"),"Hengyang City")</f>
        <v>Hengyang City</v>
      </c>
      <c r="E384" s="1" t="s">
        <v>372</v>
      </c>
      <c r="F384" s="1" t="str">
        <f>IFERROR(__xludf.DUMMYFUNCTION("GOOGLETRANSLATE(E384, ""zh-CN"", ""en"")"),"Hengyang High -tech Industrial Park, Hunan")</f>
        <v>Hengyang High -tech Industrial Park, Hunan</v>
      </c>
      <c r="G384" s="1">
        <v>4.30472E11</v>
      </c>
    </row>
    <row r="385">
      <c r="A385" s="1" t="s">
        <v>320</v>
      </c>
      <c r="B385" s="1" t="str">
        <f>IFERROR(__xludf.DUMMYFUNCTION("GOOGLETRANSLATE(A311, ""zh-CN"", ""en"")"),"Qinghai Province")</f>
        <v>Qinghai Province</v>
      </c>
      <c r="C385" s="1" t="s">
        <v>324</v>
      </c>
      <c r="D385" s="1" t="str">
        <f>IFERROR(__xludf.DUMMYFUNCTION("GOOGLETRANSLATE(C385, ""zh-CN"", ""en"")"),"Hengyang City")</f>
        <v>Hengyang City</v>
      </c>
      <c r="E385" s="1" t="s">
        <v>373</v>
      </c>
      <c r="F385" s="1" t="str">
        <f>IFERROR(__xludf.DUMMYFUNCTION("GOOGLETRANSLATE(E385, ""zh-CN"", ""en"")"),"Hengyang Songmu Economic Development Zone, Hunan")</f>
        <v>Hengyang Songmu Economic Development Zone, Hunan</v>
      </c>
      <c r="G385" s="1">
        <v>4.30473E11</v>
      </c>
    </row>
    <row r="386">
      <c r="A386" s="1" t="s">
        <v>320</v>
      </c>
      <c r="B386" s="1" t="str">
        <f>IFERROR(__xludf.DUMMYFUNCTION("GOOGLETRANSLATE(A312, ""zh-CN"", ""en"")"),"Qinghai Province")</f>
        <v>Qinghai Province</v>
      </c>
      <c r="C386" s="1" t="s">
        <v>324</v>
      </c>
      <c r="D386" s="1" t="str">
        <f>IFERROR(__xludf.DUMMYFUNCTION("GOOGLETRANSLATE(C386, ""zh-CN"", ""en"")"),"Hengyang City")</f>
        <v>Hengyang City</v>
      </c>
      <c r="E386" s="1" t="s">
        <v>374</v>
      </c>
      <c r="F386" s="1" t="str">
        <f>IFERROR(__xludf.DUMMYFUNCTION("GOOGLETRANSLATE(E386, ""zh-CN"", ""en"")"),"Puyang City")</f>
        <v>Puyang City</v>
      </c>
      <c r="G386" s="1">
        <v>4.30481E11</v>
      </c>
    </row>
    <row r="387">
      <c r="A387" s="1" t="s">
        <v>320</v>
      </c>
      <c r="B387" s="1" t="str">
        <f>IFERROR(__xludf.DUMMYFUNCTION("GOOGLETRANSLATE(A313, ""zh-CN"", ""en"")"),"Qinghai Province")</f>
        <v>Qinghai Province</v>
      </c>
      <c r="C387" s="1" t="s">
        <v>324</v>
      </c>
      <c r="D387" s="1" t="str">
        <f>IFERROR(__xludf.DUMMYFUNCTION("GOOGLETRANSLATE(C387, ""zh-CN"", ""en"")"),"Hengyang City")</f>
        <v>Hengyang City</v>
      </c>
      <c r="E387" s="1" t="s">
        <v>375</v>
      </c>
      <c r="F387" s="1" t="str">
        <f>IFERROR(__xludf.DUMMYFUNCTION("GOOGLETRANSLATE(E387, ""zh-CN"", ""en"")"),"Changning City")</f>
        <v>Changning City</v>
      </c>
      <c r="G387" s="1">
        <v>4.30482E11</v>
      </c>
    </row>
    <row r="388">
      <c r="A388" s="1" t="s">
        <v>320</v>
      </c>
      <c r="B388" s="1" t="str">
        <f>IFERROR(__xludf.DUMMYFUNCTION("GOOGLETRANSLATE(A314, ""zh-CN"", ""en"")"),"Qinghai Province")</f>
        <v>Qinghai Province</v>
      </c>
      <c r="C388" s="1" t="s">
        <v>325</v>
      </c>
      <c r="D388" s="1" t="str">
        <f>IFERROR(__xludf.DUMMYFUNCTION("GOOGLETRANSLATE(C388, ""zh-CN"", ""en"")"),"Shaoyang City")</f>
        <v>Shaoyang City</v>
      </c>
      <c r="E388" s="1" t="s">
        <v>24</v>
      </c>
      <c r="F388" s="1" t="str">
        <f>IFERROR(__xludf.DUMMYFUNCTION("GOOGLETRANSLATE(E388, ""zh-CN"", ""en"")"),"City area")</f>
        <v>City area</v>
      </c>
      <c r="G388" s="1">
        <v>4.30501E11</v>
      </c>
    </row>
    <row r="389">
      <c r="A389" s="1" t="s">
        <v>320</v>
      </c>
      <c r="B389" s="1" t="str">
        <f>IFERROR(__xludf.DUMMYFUNCTION("GOOGLETRANSLATE(A315, ""zh-CN"", ""en"")"),"Qinghai Province")</f>
        <v>Qinghai Province</v>
      </c>
      <c r="C389" s="1" t="s">
        <v>325</v>
      </c>
      <c r="D389" s="1" t="str">
        <f>IFERROR(__xludf.DUMMYFUNCTION("GOOGLETRANSLATE(C389, ""zh-CN"", ""en"")"),"Shaoyang City")</f>
        <v>Shaoyang City</v>
      </c>
      <c r="E389" s="1" t="s">
        <v>376</v>
      </c>
      <c r="F389" s="1" t="str">
        <f>IFERROR(__xludf.DUMMYFUNCTION("GOOGLETRANSLATE(E389, ""zh-CN"", ""en"")"),"Shuangqing District")</f>
        <v>Shuangqing District</v>
      </c>
      <c r="G389" s="1">
        <v>4.30502E11</v>
      </c>
    </row>
    <row r="390">
      <c r="A390" s="1" t="s">
        <v>320</v>
      </c>
      <c r="B390" s="1" t="str">
        <f>IFERROR(__xludf.DUMMYFUNCTION("GOOGLETRANSLATE(A316, ""zh-CN"", ""en"")"),"Qinghai Province")</f>
        <v>Qinghai Province</v>
      </c>
      <c r="C390" s="1" t="s">
        <v>325</v>
      </c>
      <c r="D390" s="1" t="str">
        <f>IFERROR(__xludf.DUMMYFUNCTION("GOOGLETRANSLATE(C390, ""zh-CN"", ""en"")"),"Shaoyang City")</f>
        <v>Shaoyang City</v>
      </c>
      <c r="E390" s="1" t="s">
        <v>377</v>
      </c>
      <c r="F390" s="1" t="str">
        <f>IFERROR(__xludf.DUMMYFUNCTION("GOOGLETRANSLATE(E390, ""zh-CN"", ""en"")"),"Daxiang District")</f>
        <v>Daxiang District</v>
      </c>
      <c r="G390" s="1">
        <v>4.30503E11</v>
      </c>
    </row>
    <row r="391">
      <c r="A391" s="1" t="s">
        <v>320</v>
      </c>
      <c r="B391" s="1" t="str">
        <f>IFERROR(__xludf.DUMMYFUNCTION("GOOGLETRANSLATE(A317, ""zh-CN"", ""en"")"),"Qinghai Province")</f>
        <v>Qinghai Province</v>
      </c>
      <c r="C391" s="1" t="s">
        <v>325</v>
      </c>
      <c r="D391" s="1" t="str">
        <f>IFERROR(__xludf.DUMMYFUNCTION("GOOGLETRANSLATE(C391, ""zh-CN"", ""en"")"),"Shaoyang City")</f>
        <v>Shaoyang City</v>
      </c>
      <c r="E391" s="1" t="s">
        <v>378</v>
      </c>
      <c r="F391" s="1" t="str">
        <f>IFERROR(__xludf.DUMMYFUNCTION("GOOGLETRANSLATE(E391, ""zh-CN"", ""en"")"),"North Tower District")</f>
        <v>North Tower District</v>
      </c>
      <c r="G391" s="1">
        <v>4.30511E11</v>
      </c>
    </row>
    <row r="392">
      <c r="A392" s="1" t="s">
        <v>320</v>
      </c>
      <c r="B392" s="1" t="str">
        <f>IFERROR(__xludf.DUMMYFUNCTION("GOOGLETRANSLATE(A318, ""zh-CN"", ""en"")"),"Qinghai Province")</f>
        <v>Qinghai Province</v>
      </c>
      <c r="C392" s="1" t="s">
        <v>325</v>
      </c>
      <c r="D392" s="1" t="str">
        <f>IFERROR(__xludf.DUMMYFUNCTION("GOOGLETRANSLATE(C392, ""zh-CN"", ""en"")"),"Shaoyang City")</f>
        <v>Shaoyang City</v>
      </c>
      <c r="E392" s="1" t="s">
        <v>379</v>
      </c>
      <c r="F392" s="1" t="str">
        <f>IFERROR(__xludf.DUMMYFUNCTION("GOOGLETRANSLATE(E392, ""zh-CN"", ""en"")"),"Xin Shao County")</f>
        <v>Xin Shao County</v>
      </c>
      <c r="G392" s="1">
        <v>4.30522E11</v>
      </c>
    </row>
    <row r="393">
      <c r="A393" s="1" t="s">
        <v>320</v>
      </c>
      <c r="B393" s="1" t="str">
        <f>IFERROR(__xludf.DUMMYFUNCTION("GOOGLETRANSLATE(A319, ""zh-CN"", ""en"")"),"Qinghai Province")</f>
        <v>Qinghai Province</v>
      </c>
      <c r="C393" s="1" t="s">
        <v>325</v>
      </c>
      <c r="D393" s="1" t="str">
        <f>IFERROR(__xludf.DUMMYFUNCTION("GOOGLETRANSLATE(C393, ""zh-CN"", ""en"")"),"Shaoyang City")</f>
        <v>Shaoyang City</v>
      </c>
      <c r="E393" s="1" t="s">
        <v>380</v>
      </c>
      <c r="F393" s="1" t="str">
        <f>IFERROR(__xludf.DUMMYFUNCTION("GOOGLETRANSLATE(E393, ""zh-CN"", ""en"")"),"Shaoyang County")</f>
        <v>Shaoyang County</v>
      </c>
      <c r="G393" s="1">
        <v>4.30523E11</v>
      </c>
    </row>
    <row r="394">
      <c r="A394" s="1" t="s">
        <v>320</v>
      </c>
      <c r="B394" s="1" t="str">
        <f>IFERROR(__xludf.DUMMYFUNCTION("GOOGLETRANSLATE(A320, ""zh-CN"", ""en"")"),"Qinghai Province")</f>
        <v>Qinghai Province</v>
      </c>
      <c r="C394" s="1" t="s">
        <v>325</v>
      </c>
      <c r="D394" s="1" t="str">
        <f>IFERROR(__xludf.DUMMYFUNCTION("GOOGLETRANSLATE(C394, ""zh-CN"", ""en"")"),"Shaoyang City")</f>
        <v>Shaoyang City</v>
      </c>
      <c r="E394" s="1" t="s">
        <v>381</v>
      </c>
      <c r="F394" s="1" t="str">
        <f>IFERROR(__xludf.DUMMYFUNCTION("GOOGLETRANSLATE(E394, ""zh-CN"", ""en"")"),"Longhui County")</f>
        <v>Longhui County</v>
      </c>
      <c r="G394" s="1">
        <v>4.30524E11</v>
      </c>
    </row>
    <row r="395">
      <c r="A395" s="1" t="s">
        <v>320</v>
      </c>
      <c r="B395" s="1" t="str">
        <f>IFERROR(__xludf.DUMMYFUNCTION("GOOGLETRANSLATE(A321, ""zh-CN"", ""en"")"),"Qinghai Province")</f>
        <v>Qinghai Province</v>
      </c>
      <c r="C395" s="1" t="s">
        <v>325</v>
      </c>
      <c r="D395" s="1" t="str">
        <f>IFERROR(__xludf.DUMMYFUNCTION("GOOGLETRANSLATE(C395, ""zh-CN"", ""en"")"),"Shaoyang City")</f>
        <v>Shaoyang City</v>
      </c>
      <c r="E395" s="1" t="s">
        <v>382</v>
      </c>
      <c r="F395" s="1" t="str">
        <f>IFERROR(__xludf.DUMMYFUNCTION("GOOGLETRANSLATE(E395, ""zh-CN"", ""en"")"),"Dongkou County")</f>
        <v>Dongkou County</v>
      </c>
      <c r="G395" s="1">
        <v>4.30525E11</v>
      </c>
    </row>
    <row r="396">
      <c r="A396" s="1" t="s">
        <v>320</v>
      </c>
      <c r="B396" s="1" t="str">
        <f>IFERROR(__xludf.DUMMYFUNCTION("GOOGLETRANSLATE(A322, ""zh-CN"", ""en"")"),"Qinghai Province")</f>
        <v>Qinghai Province</v>
      </c>
      <c r="C396" s="1" t="s">
        <v>325</v>
      </c>
      <c r="D396" s="1" t="str">
        <f>IFERROR(__xludf.DUMMYFUNCTION("GOOGLETRANSLATE(C396, ""zh-CN"", ""en"")"),"Shaoyang City")</f>
        <v>Shaoyang City</v>
      </c>
      <c r="E396" s="1" t="s">
        <v>383</v>
      </c>
      <c r="F396" s="1" t="str">
        <f>IFERROR(__xludf.DUMMYFUNCTION("GOOGLETRANSLATE(E396, ""zh-CN"", ""en"")"),"Suining County")</f>
        <v>Suining County</v>
      </c>
      <c r="G396" s="1">
        <v>4.30527E11</v>
      </c>
    </row>
    <row r="397">
      <c r="A397" s="1" t="s">
        <v>320</v>
      </c>
      <c r="B397" s="1" t="str">
        <f>IFERROR(__xludf.DUMMYFUNCTION("GOOGLETRANSLATE(A323, ""zh-CN"", ""en"")"),"Qinghai Province")</f>
        <v>Qinghai Province</v>
      </c>
      <c r="C397" s="1" t="s">
        <v>325</v>
      </c>
      <c r="D397" s="1" t="str">
        <f>IFERROR(__xludf.DUMMYFUNCTION("GOOGLETRANSLATE(C397, ""zh-CN"", ""en"")"),"Shaoyang City")</f>
        <v>Shaoyang City</v>
      </c>
      <c r="E397" s="1" t="s">
        <v>384</v>
      </c>
      <c r="F397" s="1" t="str">
        <f>IFERROR(__xludf.DUMMYFUNCTION("GOOGLETRANSLATE(E397, ""zh-CN"", ""en"")"),"Xinning County")</f>
        <v>Xinning County</v>
      </c>
      <c r="G397" s="1">
        <v>4.30528E11</v>
      </c>
    </row>
    <row r="398">
      <c r="A398" s="1" t="s">
        <v>320</v>
      </c>
      <c r="B398" s="1" t="str">
        <f>IFERROR(__xludf.DUMMYFUNCTION("GOOGLETRANSLATE(A324, ""zh-CN"", ""en"")"),"Qinghai Province")</f>
        <v>Qinghai Province</v>
      </c>
      <c r="C398" s="1" t="s">
        <v>325</v>
      </c>
      <c r="D398" s="1" t="str">
        <f>IFERROR(__xludf.DUMMYFUNCTION("GOOGLETRANSLATE(C398, ""zh-CN"", ""en"")"),"Shaoyang City")</f>
        <v>Shaoyang City</v>
      </c>
      <c r="E398" s="1" t="s">
        <v>385</v>
      </c>
      <c r="F398" s="1" t="str">
        <f>IFERROR(__xludf.DUMMYFUNCTION("GOOGLETRANSLATE(E398, ""zh-CN"", ""en"")"),"Chengbu Miao Autonomous County")</f>
        <v>Chengbu Miao Autonomous County</v>
      </c>
      <c r="G398" s="1">
        <v>4.30529E11</v>
      </c>
    </row>
    <row r="399">
      <c r="A399" s="1" t="s">
        <v>320</v>
      </c>
      <c r="B399" s="1" t="str">
        <f>IFERROR(__xludf.DUMMYFUNCTION("GOOGLETRANSLATE(A325, ""zh-CN"", ""en"")"),"Qinghai Province")</f>
        <v>Qinghai Province</v>
      </c>
      <c r="C399" s="1" t="s">
        <v>325</v>
      </c>
      <c r="D399" s="1" t="str">
        <f>IFERROR(__xludf.DUMMYFUNCTION("GOOGLETRANSLATE(C399, ""zh-CN"", ""en"")"),"Shaoyang City")</f>
        <v>Shaoyang City</v>
      </c>
      <c r="E399" s="1" t="s">
        <v>386</v>
      </c>
      <c r="F399" s="1" t="str">
        <f>IFERROR(__xludf.DUMMYFUNCTION("GOOGLETRANSLATE(E399, ""zh-CN"", ""en"")"),"Wugang City")</f>
        <v>Wugang City</v>
      </c>
      <c r="G399" s="1">
        <v>4.30581E11</v>
      </c>
    </row>
    <row r="400">
      <c r="A400" s="1" t="s">
        <v>320</v>
      </c>
      <c r="B400" s="1" t="str">
        <f>IFERROR(__xludf.DUMMYFUNCTION("GOOGLETRANSLATE(A326, ""zh-CN"", ""en"")"),"Qinghai Province")</f>
        <v>Qinghai Province</v>
      </c>
      <c r="C400" s="1" t="s">
        <v>325</v>
      </c>
      <c r="D400" s="1" t="str">
        <f>IFERROR(__xludf.DUMMYFUNCTION("GOOGLETRANSLATE(C400, ""zh-CN"", ""en"")"),"Shaoyang City")</f>
        <v>Shaoyang City</v>
      </c>
      <c r="E400" s="1" t="s">
        <v>387</v>
      </c>
      <c r="F400" s="1" t="str">
        <f>IFERROR(__xludf.DUMMYFUNCTION("GOOGLETRANSLATE(E400, ""zh-CN"", ""en"")"),"Shandong City")</f>
        <v>Shandong City</v>
      </c>
      <c r="G400" s="1">
        <v>4.30582E11</v>
      </c>
    </row>
    <row r="401">
      <c r="A401" s="1" t="s">
        <v>320</v>
      </c>
      <c r="B401" s="1" t="str">
        <f>IFERROR(__xludf.DUMMYFUNCTION("GOOGLETRANSLATE(A327, ""zh-CN"", ""en"")"),"Qinghai Province")</f>
        <v>Qinghai Province</v>
      </c>
      <c r="C401" s="1" t="s">
        <v>326</v>
      </c>
      <c r="D401" s="1" t="str">
        <f>IFERROR(__xludf.DUMMYFUNCTION("GOOGLETRANSLATE(C401, ""zh-CN"", ""en"")"),"Yueyang City")</f>
        <v>Yueyang City</v>
      </c>
      <c r="E401" s="1" t="s">
        <v>24</v>
      </c>
      <c r="F401" s="1" t="str">
        <f>IFERROR(__xludf.DUMMYFUNCTION("GOOGLETRANSLATE(E401, ""zh-CN"", ""en"")"),"City area")</f>
        <v>City area</v>
      </c>
      <c r="G401" s="1">
        <v>4.30601E11</v>
      </c>
    </row>
    <row r="402">
      <c r="A402" s="1" t="s">
        <v>320</v>
      </c>
      <c r="B402" s="1" t="str">
        <f>IFERROR(__xludf.DUMMYFUNCTION("GOOGLETRANSLATE(A328, ""zh-CN"", ""en"")"),"Hunan Province")</f>
        <v>Hunan Province</v>
      </c>
      <c r="C402" s="1" t="s">
        <v>326</v>
      </c>
      <c r="D402" s="1" t="str">
        <f>IFERROR(__xludf.DUMMYFUNCTION("GOOGLETRANSLATE(C402, ""zh-CN"", ""en"")"),"Yueyang City")</f>
        <v>Yueyang City</v>
      </c>
      <c r="E402" s="1" t="s">
        <v>388</v>
      </c>
      <c r="F402" s="1" t="str">
        <f>IFERROR(__xludf.DUMMYFUNCTION("GOOGLETRANSLATE(E402, ""zh-CN"", ""en"")"),"Yueyang Building District")</f>
        <v>Yueyang Building District</v>
      </c>
      <c r="G402" s="1">
        <v>4.30602E11</v>
      </c>
    </row>
    <row r="403">
      <c r="A403" s="1" t="s">
        <v>320</v>
      </c>
      <c r="B403" s="1" t="str">
        <f>IFERROR(__xludf.DUMMYFUNCTION("GOOGLETRANSLATE(A329, ""zh-CN"", ""en"")"),"Hunan Province")</f>
        <v>Hunan Province</v>
      </c>
      <c r="C403" s="1" t="s">
        <v>326</v>
      </c>
      <c r="D403" s="1" t="str">
        <f>IFERROR(__xludf.DUMMYFUNCTION("GOOGLETRANSLATE(C403, ""zh-CN"", ""en"")"),"Yueyang City")</f>
        <v>Yueyang City</v>
      </c>
      <c r="E403" s="1" t="s">
        <v>389</v>
      </c>
      <c r="F403" s="1" t="str">
        <f>IFERROR(__xludf.DUMMYFUNCTION("GOOGLETRANSLATE(E403, ""zh-CN"", ""en"")"),"Yunxi District")</f>
        <v>Yunxi District</v>
      </c>
      <c r="G403" s="1">
        <v>4.30603E11</v>
      </c>
    </row>
    <row r="404">
      <c r="A404" s="1" t="s">
        <v>320</v>
      </c>
      <c r="B404" s="1" t="str">
        <f>IFERROR(__xludf.DUMMYFUNCTION("GOOGLETRANSLATE(A330, ""zh-CN"", ""en"")"),"Hunan Province")</f>
        <v>Hunan Province</v>
      </c>
      <c r="C404" s="1" t="s">
        <v>326</v>
      </c>
      <c r="D404" s="1" t="str">
        <f>IFERROR(__xludf.DUMMYFUNCTION("GOOGLETRANSLATE(C404, ""zh-CN"", ""en"")"),"Yueyang City")</f>
        <v>Yueyang City</v>
      </c>
      <c r="E404" s="1" t="s">
        <v>390</v>
      </c>
      <c r="F404" s="1" t="str">
        <f>IFERROR(__xludf.DUMMYFUNCTION("GOOGLETRANSLATE(E404, ""zh-CN"", ""en"")"),"Junshan District")</f>
        <v>Junshan District</v>
      </c>
      <c r="G404" s="1">
        <v>4.30611E11</v>
      </c>
    </row>
    <row r="405">
      <c r="A405" s="1" t="s">
        <v>320</v>
      </c>
      <c r="B405" s="1" t="str">
        <f>IFERROR(__xludf.DUMMYFUNCTION("GOOGLETRANSLATE(A331, ""zh-CN"", ""en"")"),"Hunan Province")</f>
        <v>Hunan Province</v>
      </c>
      <c r="C405" s="1" t="s">
        <v>326</v>
      </c>
      <c r="D405" s="1" t="str">
        <f>IFERROR(__xludf.DUMMYFUNCTION("GOOGLETRANSLATE(C405, ""zh-CN"", ""en"")"),"Yueyang City")</f>
        <v>Yueyang City</v>
      </c>
      <c r="E405" s="1" t="s">
        <v>391</v>
      </c>
      <c r="F405" s="1" t="str">
        <f>IFERROR(__xludf.DUMMYFUNCTION("GOOGLETRANSLATE(E405, ""zh-CN"", ""en"")"),"Yueyang County")</f>
        <v>Yueyang County</v>
      </c>
      <c r="G405" s="1">
        <v>4.30621E11</v>
      </c>
    </row>
    <row r="406">
      <c r="A406" s="1" t="s">
        <v>320</v>
      </c>
      <c r="B406" s="1" t="str">
        <f>IFERROR(__xludf.DUMMYFUNCTION("GOOGLETRANSLATE(A332, ""zh-CN"", ""en"")"),"Hunan Province")</f>
        <v>Hunan Province</v>
      </c>
      <c r="C406" s="1" t="s">
        <v>326</v>
      </c>
      <c r="D406" s="1" t="str">
        <f>IFERROR(__xludf.DUMMYFUNCTION("GOOGLETRANSLATE(C406, ""zh-CN"", ""en"")"),"Yueyang City")</f>
        <v>Yueyang City</v>
      </c>
      <c r="E406" s="1" t="s">
        <v>392</v>
      </c>
      <c r="F406" s="1" t="str">
        <f>IFERROR(__xludf.DUMMYFUNCTION("GOOGLETRANSLATE(E406, ""zh-CN"", ""en"")"),"Huarong County")</f>
        <v>Huarong County</v>
      </c>
      <c r="G406" s="1">
        <v>4.30623E11</v>
      </c>
    </row>
    <row r="407">
      <c r="A407" s="1" t="s">
        <v>320</v>
      </c>
      <c r="B407" s="1" t="str">
        <f>IFERROR(__xludf.DUMMYFUNCTION("GOOGLETRANSLATE(A333, ""zh-CN"", ""en"")"),"Hunan Province")</f>
        <v>Hunan Province</v>
      </c>
      <c r="C407" s="1" t="s">
        <v>326</v>
      </c>
      <c r="D407" s="1" t="str">
        <f>IFERROR(__xludf.DUMMYFUNCTION("GOOGLETRANSLATE(C407, ""zh-CN"", ""en"")"),"Yueyang City")</f>
        <v>Yueyang City</v>
      </c>
      <c r="E407" s="1" t="s">
        <v>393</v>
      </c>
      <c r="F407" s="1" t="str">
        <f>IFERROR(__xludf.DUMMYFUNCTION("GOOGLETRANSLATE(E407, ""zh-CN"", ""en"")"),"Xiangyin County")</f>
        <v>Xiangyin County</v>
      </c>
      <c r="G407" s="1">
        <v>4.30624E11</v>
      </c>
    </row>
    <row r="408">
      <c r="A408" s="1" t="s">
        <v>320</v>
      </c>
      <c r="B408" s="1" t="str">
        <f>IFERROR(__xludf.DUMMYFUNCTION("GOOGLETRANSLATE(A334, ""zh-CN"", ""en"")"),"Hunan Province")</f>
        <v>Hunan Province</v>
      </c>
      <c r="C408" s="1" t="s">
        <v>326</v>
      </c>
      <c r="D408" s="1" t="str">
        <f>IFERROR(__xludf.DUMMYFUNCTION("GOOGLETRANSLATE(C408, ""zh-CN"", ""en"")"),"Yueyang City")</f>
        <v>Yueyang City</v>
      </c>
      <c r="E408" s="1" t="s">
        <v>394</v>
      </c>
      <c r="F408" s="1" t="str">
        <f>IFERROR(__xludf.DUMMYFUNCTION("GOOGLETRANSLATE(E408, ""zh-CN"", ""en"")"),"Pingjiang County")</f>
        <v>Pingjiang County</v>
      </c>
      <c r="G408" s="1">
        <v>4.30626E11</v>
      </c>
    </row>
    <row r="409">
      <c r="A409" s="1" t="s">
        <v>320</v>
      </c>
      <c r="B409" s="1" t="str">
        <f>IFERROR(__xludf.DUMMYFUNCTION("GOOGLETRANSLATE(A335, ""zh-CN"", ""en"")"),"Hunan Province")</f>
        <v>Hunan Province</v>
      </c>
      <c r="C409" s="1" t="s">
        <v>326</v>
      </c>
      <c r="D409" s="1" t="str">
        <f>IFERROR(__xludf.DUMMYFUNCTION("GOOGLETRANSLATE(C409, ""zh-CN"", ""en"")"),"Yueyang City")</f>
        <v>Yueyang City</v>
      </c>
      <c r="E409" s="1" t="s">
        <v>395</v>
      </c>
      <c r="F409" s="1" t="str">
        <f>IFERROR(__xludf.DUMMYFUNCTION("GOOGLETRANSLATE(E409, ""zh-CN"", ""en"")"),"Yueyang Quyuan Management Zone")</f>
        <v>Yueyang Quyuan Management Zone</v>
      </c>
      <c r="G409" s="1">
        <v>4.30671E11</v>
      </c>
    </row>
    <row r="410">
      <c r="A410" s="1" t="s">
        <v>320</v>
      </c>
      <c r="B410" s="1" t="str">
        <f>IFERROR(__xludf.DUMMYFUNCTION("GOOGLETRANSLATE(A336, ""zh-CN"", ""en"")"),"Hunan Province")</f>
        <v>Hunan Province</v>
      </c>
      <c r="C410" s="1" t="s">
        <v>326</v>
      </c>
      <c r="D410" s="1" t="str">
        <f>IFERROR(__xludf.DUMMYFUNCTION("GOOGLETRANSLATE(C410, ""zh-CN"", ""en"")"),"Yueyang City")</f>
        <v>Yueyang City</v>
      </c>
      <c r="E410" s="1" t="s">
        <v>396</v>
      </c>
      <c r="F410" s="1" t="str">
        <f>IFERROR(__xludf.DUMMYFUNCTION("GOOGLETRANSLATE(E410, ""zh-CN"", ""en"")"),"La Luo City")</f>
        <v>La Luo City</v>
      </c>
      <c r="G410" s="1">
        <v>4.30681E11</v>
      </c>
    </row>
    <row r="411">
      <c r="A411" s="1" t="s">
        <v>320</v>
      </c>
      <c r="B411" s="1" t="str">
        <f>IFERROR(__xludf.DUMMYFUNCTION("GOOGLETRANSLATE(A337, ""zh-CN"", ""en"")"),"Hunan Province")</f>
        <v>Hunan Province</v>
      </c>
      <c r="C411" s="1" t="s">
        <v>326</v>
      </c>
      <c r="D411" s="1" t="str">
        <f>IFERROR(__xludf.DUMMYFUNCTION("GOOGLETRANSLATE(C411, ""zh-CN"", ""en"")"),"Yueyang City")</f>
        <v>Yueyang City</v>
      </c>
      <c r="E411" s="1" t="s">
        <v>397</v>
      </c>
      <c r="F411" s="1" t="str">
        <f>IFERROR(__xludf.DUMMYFUNCTION("GOOGLETRANSLATE(E411, ""zh-CN"", ""en"")"),"Linxiang City")</f>
        <v>Linxiang City</v>
      </c>
      <c r="G411" s="1">
        <v>4.30682E11</v>
      </c>
    </row>
    <row r="412">
      <c r="A412" s="1" t="s">
        <v>320</v>
      </c>
      <c r="B412" s="1" t="str">
        <f>IFERROR(__xludf.DUMMYFUNCTION("GOOGLETRANSLATE(A338, ""zh-CN"", ""en"")"),"Hunan Province")</f>
        <v>Hunan Province</v>
      </c>
      <c r="C412" s="1" t="s">
        <v>327</v>
      </c>
      <c r="D412" s="1" t="str">
        <f>IFERROR(__xludf.DUMMYFUNCTION("GOOGLETRANSLATE(C412, ""zh-CN"", ""en"")"),"Changde City")</f>
        <v>Changde City</v>
      </c>
      <c r="E412" s="1" t="s">
        <v>24</v>
      </c>
      <c r="F412" s="1" t="str">
        <f>IFERROR(__xludf.DUMMYFUNCTION("GOOGLETRANSLATE(E412, ""zh-CN"", ""en"")"),"City area")</f>
        <v>City area</v>
      </c>
      <c r="G412" s="1">
        <v>4.30701E11</v>
      </c>
    </row>
    <row r="413">
      <c r="A413" s="1" t="s">
        <v>320</v>
      </c>
      <c r="B413" s="1" t="str">
        <f>IFERROR(__xludf.DUMMYFUNCTION("GOOGLETRANSLATE(A339, ""zh-CN"", ""en"")"),"Hunan Province")</f>
        <v>Hunan Province</v>
      </c>
      <c r="C413" s="1" t="s">
        <v>327</v>
      </c>
      <c r="D413" s="1" t="str">
        <f>IFERROR(__xludf.DUMMYFUNCTION("GOOGLETRANSLATE(C413, ""zh-CN"", ""en"")"),"Changde City")</f>
        <v>Changde City</v>
      </c>
      <c r="E413" s="1" t="s">
        <v>398</v>
      </c>
      <c r="F413" s="1" t="str">
        <f>IFERROR(__xludf.DUMMYFUNCTION("GOOGLETRANSLATE(E413, ""zh-CN"", ""en"")"),"Wuling District")</f>
        <v>Wuling District</v>
      </c>
      <c r="G413" s="1">
        <v>4.30702E11</v>
      </c>
    </row>
    <row r="414">
      <c r="A414" s="1" t="s">
        <v>320</v>
      </c>
      <c r="B414" s="1" t="str">
        <f>IFERROR(__xludf.DUMMYFUNCTION("GOOGLETRANSLATE(A340, ""zh-CN"", ""en"")"),"Hunan Province")</f>
        <v>Hunan Province</v>
      </c>
      <c r="C414" s="1" t="s">
        <v>327</v>
      </c>
      <c r="D414" s="1" t="str">
        <f>IFERROR(__xludf.DUMMYFUNCTION("GOOGLETRANSLATE(C414, ""zh-CN"", ""en"")"),"Changde City")</f>
        <v>Changde City</v>
      </c>
      <c r="E414" s="1" t="s">
        <v>399</v>
      </c>
      <c r="F414" s="1" t="str">
        <f>IFERROR(__xludf.DUMMYFUNCTION("GOOGLETRANSLATE(E414, ""zh-CN"", ""en"")"),"Dingcheng District")</f>
        <v>Dingcheng District</v>
      </c>
      <c r="G414" s="1">
        <v>4.30703E11</v>
      </c>
    </row>
    <row r="415">
      <c r="A415" s="1" t="s">
        <v>320</v>
      </c>
      <c r="B415" s="1" t="str">
        <f>IFERROR(__xludf.DUMMYFUNCTION("GOOGLETRANSLATE(A341, ""zh-CN"", ""en"")"),"Hunan Province")</f>
        <v>Hunan Province</v>
      </c>
      <c r="C415" s="1" t="s">
        <v>327</v>
      </c>
      <c r="D415" s="1" t="str">
        <f>IFERROR(__xludf.DUMMYFUNCTION("GOOGLETRANSLATE(C415, ""zh-CN"", ""en"")"),"Changde City")</f>
        <v>Changde City</v>
      </c>
      <c r="E415" s="1" t="s">
        <v>400</v>
      </c>
      <c r="F415" s="1" t="str">
        <f>IFERROR(__xludf.DUMMYFUNCTION("GOOGLETRANSLATE(E415, ""zh-CN"", ""en"")"),"Anxiang County")</f>
        <v>Anxiang County</v>
      </c>
      <c r="G415" s="1">
        <v>4.30721E11</v>
      </c>
    </row>
    <row r="416">
      <c r="A416" s="1" t="s">
        <v>320</v>
      </c>
      <c r="B416" s="1" t="str">
        <f>IFERROR(__xludf.DUMMYFUNCTION("GOOGLETRANSLATE(A342, ""zh-CN"", ""en"")"),"Hunan Province")</f>
        <v>Hunan Province</v>
      </c>
      <c r="C416" s="1" t="s">
        <v>327</v>
      </c>
      <c r="D416" s="1" t="str">
        <f>IFERROR(__xludf.DUMMYFUNCTION("GOOGLETRANSLATE(C416, ""zh-CN"", ""en"")"),"Changde City")</f>
        <v>Changde City</v>
      </c>
      <c r="E416" s="1" t="s">
        <v>401</v>
      </c>
      <c r="F416" s="1" t="str">
        <f>IFERROR(__xludf.DUMMYFUNCTION("GOOGLETRANSLATE(E416, ""zh-CN"", ""en"")"),"Hanshou County")</f>
        <v>Hanshou County</v>
      </c>
      <c r="G416" s="1">
        <v>4.30722E11</v>
      </c>
    </row>
    <row r="417">
      <c r="A417" s="1" t="s">
        <v>320</v>
      </c>
      <c r="B417" s="1" t="str">
        <f>IFERROR(__xludf.DUMMYFUNCTION("GOOGLETRANSLATE(A343, ""zh-CN"", ""en"")"),"Hunan Province")</f>
        <v>Hunan Province</v>
      </c>
      <c r="C417" s="1" t="s">
        <v>327</v>
      </c>
      <c r="D417" s="1" t="str">
        <f>IFERROR(__xludf.DUMMYFUNCTION("GOOGLETRANSLATE(C417, ""zh-CN"", ""en"")"),"Changde City")</f>
        <v>Changde City</v>
      </c>
      <c r="E417" s="1" t="s">
        <v>402</v>
      </c>
      <c r="F417" s="1" t="str">
        <f>IFERROR(__xludf.DUMMYFUNCTION("GOOGLETRANSLATE(E417, ""zh-CN"", ""en"")"),"Qixian County")</f>
        <v>Qixian County</v>
      </c>
      <c r="G417" s="1">
        <v>4.30723E11</v>
      </c>
    </row>
    <row r="418">
      <c r="A418" s="1" t="s">
        <v>320</v>
      </c>
      <c r="B418" s="1" t="str">
        <f>IFERROR(__xludf.DUMMYFUNCTION("GOOGLETRANSLATE(A344, ""zh-CN"", ""en"")"),"Hunan Province")</f>
        <v>Hunan Province</v>
      </c>
      <c r="C418" s="1" t="s">
        <v>327</v>
      </c>
      <c r="D418" s="1" t="str">
        <f>IFERROR(__xludf.DUMMYFUNCTION("GOOGLETRANSLATE(C418, ""zh-CN"", ""en"")"),"Changde City")</f>
        <v>Changde City</v>
      </c>
      <c r="E418" s="1" t="s">
        <v>403</v>
      </c>
      <c r="F418" s="1" t="str">
        <f>IFERROR(__xludf.DUMMYFUNCTION("GOOGLETRANSLATE(E418, ""zh-CN"", ""en"")"),"Linyi County")</f>
        <v>Linyi County</v>
      </c>
      <c r="G418" s="1">
        <v>4.30724E11</v>
      </c>
    </row>
    <row r="419">
      <c r="A419" s="1" t="s">
        <v>320</v>
      </c>
      <c r="B419" s="1" t="str">
        <f>IFERROR(__xludf.DUMMYFUNCTION("GOOGLETRANSLATE(A345, ""zh-CN"", ""en"")"),"Hunan Province")</f>
        <v>Hunan Province</v>
      </c>
      <c r="C419" s="1" t="s">
        <v>327</v>
      </c>
      <c r="D419" s="1" t="str">
        <f>IFERROR(__xludf.DUMMYFUNCTION("GOOGLETRANSLATE(C419, ""zh-CN"", ""en"")"),"Changde City")</f>
        <v>Changde City</v>
      </c>
      <c r="E419" s="1" t="s">
        <v>404</v>
      </c>
      <c r="F419" s="1" t="str">
        <f>IFERROR(__xludf.DUMMYFUNCTION("GOOGLETRANSLATE(E419, ""zh-CN"", ""en"")"),"Taoyuan County")</f>
        <v>Taoyuan County</v>
      </c>
      <c r="G419" s="1">
        <v>4.30725E11</v>
      </c>
    </row>
    <row r="420">
      <c r="A420" s="1" t="s">
        <v>320</v>
      </c>
      <c r="B420" s="1" t="str">
        <f>IFERROR(__xludf.DUMMYFUNCTION("GOOGLETRANSLATE(A346, ""zh-CN"", ""en"")"),"Hunan Province")</f>
        <v>Hunan Province</v>
      </c>
      <c r="C420" s="1" t="s">
        <v>327</v>
      </c>
      <c r="D420" s="1" t="str">
        <f>IFERROR(__xludf.DUMMYFUNCTION("GOOGLETRANSLATE(C420, ""zh-CN"", ""en"")"),"Changde City")</f>
        <v>Changde City</v>
      </c>
      <c r="E420" s="1" t="s">
        <v>405</v>
      </c>
      <c r="F420" s="1" t="str">
        <f>IFERROR(__xludf.DUMMYFUNCTION("GOOGLETRANSLATE(E420, ""zh-CN"", ""en"")"),"Shimen County")</f>
        <v>Shimen County</v>
      </c>
      <c r="G420" s="1">
        <v>4.30726E11</v>
      </c>
    </row>
    <row r="421">
      <c r="A421" s="1" t="s">
        <v>320</v>
      </c>
      <c r="B421" s="1" t="str">
        <f>IFERROR(__xludf.DUMMYFUNCTION("GOOGLETRANSLATE(A347, ""zh-CN"", ""en"")"),"Hunan Province")</f>
        <v>Hunan Province</v>
      </c>
      <c r="C421" s="1" t="s">
        <v>327</v>
      </c>
      <c r="D421" s="1" t="str">
        <f>IFERROR(__xludf.DUMMYFUNCTION("GOOGLETRANSLATE(C421, ""zh-CN"", ""en"")"),"Changde City")</f>
        <v>Changde City</v>
      </c>
      <c r="E421" s="1" t="s">
        <v>406</v>
      </c>
      <c r="F421" s="1" t="str">
        <f>IFERROR(__xludf.DUMMYFUNCTION("GOOGLETRANSLATE(E421, ""zh-CN"", ""en"")"),"Xidongting Management Zone of Changde City")</f>
        <v>Xidongting Management Zone of Changde City</v>
      </c>
      <c r="G421" s="1">
        <v>4.30771E11</v>
      </c>
    </row>
    <row r="422">
      <c r="A422" s="1" t="s">
        <v>320</v>
      </c>
      <c r="B422" s="1" t="str">
        <f>IFERROR(__xludf.DUMMYFUNCTION("GOOGLETRANSLATE(A348, ""zh-CN"", ""en"")"),"Hunan Province")</f>
        <v>Hunan Province</v>
      </c>
      <c r="C422" s="1" t="s">
        <v>327</v>
      </c>
      <c r="D422" s="1" t="str">
        <f>IFERROR(__xludf.DUMMYFUNCTION("GOOGLETRANSLATE(C422, ""zh-CN"", ""en"")"),"Changde City")</f>
        <v>Changde City</v>
      </c>
      <c r="E422" s="1" t="s">
        <v>407</v>
      </c>
      <c r="F422" s="1" t="str">
        <f>IFERROR(__xludf.DUMMYFUNCTION("GOOGLETRANSLATE(E422, ""zh-CN"", ""en"")"),"Tianjin City")</f>
        <v>Tianjin City</v>
      </c>
      <c r="G422" s="1">
        <v>4.30781E11</v>
      </c>
    </row>
    <row r="423">
      <c r="A423" s="1" t="s">
        <v>320</v>
      </c>
      <c r="B423" s="1" t="str">
        <f>IFERROR(__xludf.DUMMYFUNCTION("GOOGLETRANSLATE(A349, ""zh-CN"", ""en"")"),"Hunan Province")</f>
        <v>Hunan Province</v>
      </c>
      <c r="C423" s="1" t="s">
        <v>328</v>
      </c>
      <c r="D423" s="1" t="str">
        <f>IFERROR(__xludf.DUMMYFUNCTION("GOOGLETRANSLATE(C423, ""zh-CN"", ""en"")"),"Zhangjiajie City")</f>
        <v>Zhangjiajie City</v>
      </c>
      <c r="E423" s="1" t="s">
        <v>24</v>
      </c>
      <c r="F423" s="1" t="str">
        <f>IFERROR(__xludf.DUMMYFUNCTION("GOOGLETRANSLATE(E423, ""zh-CN"", ""en"")"),"City area")</f>
        <v>City area</v>
      </c>
      <c r="G423" s="1">
        <v>4.30801E11</v>
      </c>
    </row>
    <row r="424">
      <c r="A424" s="1" t="s">
        <v>320</v>
      </c>
      <c r="B424" s="1" t="str">
        <f>IFERROR(__xludf.DUMMYFUNCTION("GOOGLETRANSLATE(A350, ""zh-CN"", ""en"")"),"Hunan Province")</f>
        <v>Hunan Province</v>
      </c>
      <c r="C424" s="1" t="s">
        <v>328</v>
      </c>
      <c r="D424" s="1" t="str">
        <f>IFERROR(__xludf.DUMMYFUNCTION("GOOGLETRANSLATE(C424, ""zh-CN"", ""en"")"),"Zhangjiajie City")</f>
        <v>Zhangjiajie City</v>
      </c>
      <c r="E424" s="1" t="s">
        <v>408</v>
      </c>
      <c r="F424" s="1" t="str">
        <f>IFERROR(__xludf.DUMMYFUNCTION("GOOGLETRANSLATE(E424, ""zh-CN"", ""en"")"),"Yongding District")</f>
        <v>Yongding District</v>
      </c>
      <c r="G424" s="1">
        <v>4.30802E11</v>
      </c>
    </row>
    <row r="425">
      <c r="A425" s="1" t="s">
        <v>320</v>
      </c>
      <c r="B425" s="1" t="str">
        <f>IFERROR(__xludf.DUMMYFUNCTION("GOOGLETRANSLATE(A351, ""zh-CN"", ""en"")"),"Hunan Province")</f>
        <v>Hunan Province</v>
      </c>
      <c r="C425" s="1" t="s">
        <v>328</v>
      </c>
      <c r="D425" s="1" t="str">
        <f>IFERROR(__xludf.DUMMYFUNCTION("GOOGLETRANSLATE(C425, ""zh-CN"", ""en"")"),"Zhangjiajie City")</f>
        <v>Zhangjiajie City</v>
      </c>
      <c r="E425" s="1" t="s">
        <v>409</v>
      </c>
      <c r="F425" s="1" t="str">
        <f>IFERROR(__xludf.DUMMYFUNCTION("GOOGLETRANSLATE(E425, ""zh-CN"", ""en"")"),"Wulingyuan District")</f>
        <v>Wulingyuan District</v>
      </c>
      <c r="G425" s="1">
        <v>4.30811E11</v>
      </c>
    </row>
    <row r="426">
      <c r="A426" s="1" t="s">
        <v>320</v>
      </c>
      <c r="B426" s="1" t="str">
        <f>IFERROR(__xludf.DUMMYFUNCTION("GOOGLETRANSLATE(A352, ""zh-CN"", ""en"")"),"Hunan Province")</f>
        <v>Hunan Province</v>
      </c>
      <c r="C426" s="1" t="s">
        <v>328</v>
      </c>
      <c r="D426" s="1" t="str">
        <f>IFERROR(__xludf.DUMMYFUNCTION("GOOGLETRANSLATE(C426, ""zh-CN"", ""en"")"),"Zhangjiajie City")</f>
        <v>Zhangjiajie City</v>
      </c>
      <c r="E426" s="1" t="s">
        <v>410</v>
      </c>
      <c r="F426" s="1" t="str">
        <f>IFERROR(__xludf.DUMMYFUNCTION("GOOGLETRANSLATE(E426, ""zh-CN"", ""en"")"),"Cili County")</f>
        <v>Cili County</v>
      </c>
      <c r="G426" s="1">
        <v>4.30821E11</v>
      </c>
    </row>
    <row r="427">
      <c r="A427" s="1" t="s">
        <v>320</v>
      </c>
      <c r="B427" s="1" t="str">
        <f>IFERROR(__xludf.DUMMYFUNCTION("GOOGLETRANSLATE(A353, ""zh-CN"", ""en"")"),"Hunan Province")</f>
        <v>Hunan Province</v>
      </c>
      <c r="C427" s="1" t="s">
        <v>328</v>
      </c>
      <c r="D427" s="1" t="str">
        <f>IFERROR(__xludf.DUMMYFUNCTION("GOOGLETRANSLATE(C427, ""zh-CN"", ""en"")"),"Zhangjiajie City")</f>
        <v>Zhangjiajie City</v>
      </c>
      <c r="E427" s="1" t="s">
        <v>411</v>
      </c>
      <c r="F427" s="1" t="str">
        <f>IFERROR(__xludf.DUMMYFUNCTION("GOOGLETRANSLATE(E427, ""zh-CN"", ""en"")"),"Sangzhi County")</f>
        <v>Sangzhi County</v>
      </c>
      <c r="G427" s="1">
        <v>4.30822E11</v>
      </c>
    </row>
    <row r="428">
      <c r="A428" s="1" t="s">
        <v>320</v>
      </c>
      <c r="B428" s="1" t="str">
        <f>IFERROR(__xludf.DUMMYFUNCTION("GOOGLETRANSLATE(A354, ""zh-CN"", ""en"")"),"Hunan Province")</f>
        <v>Hunan Province</v>
      </c>
      <c r="C428" s="1" t="s">
        <v>329</v>
      </c>
      <c r="D428" s="1" t="str">
        <f>IFERROR(__xludf.DUMMYFUNCTION("GOOGLETRANSLATE(C428, ""zh-CN"", ""en"")"),"Yiyang City")</f>
        <v>Yiyang City</v>
      </c>
      <c r="E428" s="1" t="s">
        <v>24</v>
      </c>
      <c r="F428" s="1" t="str">
        <f>IFERROR(__xludf.DUMMYFUNCTION("GOOGLETRANSLATE(E428, ""zh-CN"", ""en"")"),"City area")</f>
        <v>City area</v>
      </c>
      <c r="G428" s="1">
        <v>4.30901E11</v>
      </c>
    </row>
    <row r="429">
      <c r="A429" s="1" t="s">
        <v>320</v>
      </c>
      <c r="B429" s="1" t="str">
        <f>IFERROR(__xludf.DUMMYFUNCTION("GOOGLETRANSLATE(A355, ""zh-CN"", ""en"")"),"Hunan Province")</f>
        <v>Hunan Province</v>
      </c>
      <c r="C429" s="1" t="s">
        <v>329</v>
      </c>
      <c r="D429" s="1" t="str">
        <f>IFERROR(__xludf.DUMMYFUNCTION("GOOGLETRANSLATE(C429, ""zh-CN"", ""en"")"),"Yiyang City")</f>
        <v>Yiyang City</v>
      </c>
      <c r="E429" s="1" t="s">
        <v>412</v>
      </c>
      <c r="F429" s="1" t="str">
        <f>IFERROR(__xludf.DUMMYFUNCTION("GOOGLETRANSLATE(E429, ""zh-CN"", ""en"")"),"Ziyang District")</f>
        <v>Ziyang District</v>
      </c>
      <c r="G429" s="1">
        <v>4.30902E11</v>
      </c>
    </row>
    <row r="430">
      <c r="A430" s="1" t="s">
        <v>320</v>
      </c>
      <c r="B430" s="1" t="str">
        <f>IFERROR(__xludf.DUMMYFUNCTION("GOOGLETRANSLATE(A356, ""zh-CN"", ""en"")"),"Hunan Province")</f>
        <v>Hunan Province</v>
      </c>
      <c r="C430" s="1" t="s">
        <v>329</v>
      </c>
      <c r="D430" s="1" t="str">
        <f>IFERROR(__xludf.DUMMYFUNCTION("GOOGLETRANSLATE(C430, ""zh-CN"", ""en"")"),"Yiyang City")</f>
        <v>Yiyang City</v>
      </c>
      <c r="E430" s="1" t="s">
        <v>413</v>
      </c>
      <c r="F430" s="1" t="str">
        <f>IFERROR(__xludf.DUMMYFUNCTION("GOOGLETRANSLATE(E430, ""zh-CN"", ""en"")"),"Heshan District")</f>
        <v>Heshan District</v>
      </c>
      <c r="G430" s="1">
        <v>4.30903E11</v>
      </c>
    </row>
    <row r="431">
      <c r="A431" s="1" t="s">
        <v>320</v>
      </c>
      <c r="B431" s="1" t="str">
        <f>IFERROR(__xludf.DUMMYFUNCTION("GOOGLETRANSLATE(A357, ""zh-CN"", ""en"")"),"Hunan Province")</f>
        <v>Hunan Province</v>
      </c>
      <c r="C431" s="1" t="s">
        <v>329</v>
      </c>
      <c r="D431" s="1" t="str">
        <f>IFERROR(__xludf.DUMMYFUNCTION("GOOGLETRANSLATE(C431, ""zh-CN"", ""en"")"),"Yiyang City")</f>
        <v>Yiyang City</v>
      </c>
      <c r="E431" s="1" t="s">
        <v>414</v>
      </c>
      <c r="F431" s="1" t="str">
        <f>IFERROR(__xludf.DUMMYFUNCTION("GOOGLETRANSLATE(E431, ""zh-CN"", ""en"")"),"Nanxian County")</f>
        <v>Nanxian County</v>
      </c>
      <c r="G431" s="1">
        <v>4.30921E11</v>
      </c>
    </row>
    <row r="432">
      <c r="A432" s="1" t="s">
        <v>320</v>
      </c>
      <c r="B432" s="1" t="str">
        <f>IFERROR(__xludf.DUMMYFUNCTION("GOOGLETRANSLATE(A358, ""zh-CN"", ""en"")"),"Hunan Province")</f>
        <v>Hunan Province</v>
      </c>
      <c r="C432" s="1" t="s">
        <v>329</v>
      </c>
      <c r="D432" s="1" t="str">
        <f>IFERROR(__xludf.DUMMYFUNCTION("GOOGLETRANSLATE(C432, ""zh-CN"", ""en"")"),"Yiyang City")</f>
        <v>Yiyang City</v>
      </c>
      <c r="E432" s="1" t="s">
        <v>415</v>
      </c>
      <c r="F432" s="1" t="str">
        <f>IFERROR(__xludf.DUMMYFUNCTION("GOOGLETRANSLATE(E432, ""zh-CN"", ""en"")"),"Taojiang County")</f>
        <v>Taojiang County</v>
      </c>
      <c r="G432" s="1">
        <v>4.30922E11</v>
      </c>
    </row>
    <row r="433">
      <c r="A433" s="1" t="s">
        <v>320</v>
      </c>
      <c r="B433" s="1" t="str">
        <f>IFERROR(__xludf.DUMMYFUNCTION("GOOGLETRANSLATE(A359, ""zh-CN"", ""en"")"),"Hunan Province")</f>
        <v>Hunan Province</v>
      </c>
      <c r="C433" s="1" t="s">
        <v>329</v>
      </c>
      <c r="D433" s="1" t="str">
        <f>IFERROR(__xludf.DUMMYFUNCTION("GOOGLETRANSLATE(C433, ""zh-CN"", ""en"")"),"Yiyang City")</f>
        <v>Yiyang City</v>
      </c>
      <c r="E433" s="1" t="s">
        <v>416</v>
      </c>
      <c r="F433" s="1" t="str">
        <f>IFERROR(__xludf.DUMMYFUNCTION("GOOGLETRANSLATE(E433, ""zh-CN"", ""en"")"),"Anhua County")</f>
        <v>Anhua County</v>
      </c>
      <c r="G433" s="1">
        <v>4.30923E11</v>
      </c>
    </row>
    <row r="434">
      <c r="A434" s="1" t="s">
        <v>320</v>
      </c>
      <c r="B434" s="1" t="str">
        <f>IFERROR(__xludf.DUMMYFUNCTION("GOOGLETRANSLATE(A360, ""zh-CN"", ""en"")"),"Hunan Province")</f>
        <v>Hunan Province</v>
      </c>
      <c r="C434" s="1" t="s">
        <v>329</v>
      </c>
      <c r="D434" s="1" t="str">
        <f>IFERROR(__xludf.DUMMYFUNCTION("GOOGLETRANSLATE(C434, ""zh-CN"", ""en"")"),"Yiyang City")</f>
        <v>Yiyang City</v>
      </c>
      <c r="E434" s="1" t="s">
        <v>417</v>
      </c>
      <c r="F434" s="1" t="str">
        <f>IFERROR(__xludf.DUMMYFUNCTION("GOOGLETRANSLATE(E434, ""zh-CN"", ""en"")"),"Yiyang Datong Lake Management Zone")</f>
        <v>Yiyang Datong Lake Management Zone</v>
      </c>
      <c r="G434" s="1">
        <v>4.30971E11</v>
      </c>
    </row>
    <row r="435">
      <c r="A435" s="1" t="s">
        <v>320</v>
      </c>
      <c r="B435" s="1" t="str">
        <f>IFERROR(__xludf.DUMMYFUNCTION("GOOGLETRANSLATE(A361, ""zh-CN"", ""en"")"),"Hunan Province")</f>
        <v>Hunan Province</v>
      </c>
      <c r="C435" s="1" t="s">
        <v>329</v>
      </c>
      <c r="D435" s="1" t="str">
        <f>IFERROR(__xludf.DUMMYFUNCTION("GOOGLETRANSLATE(C435, ""zh-CN"", ""en"")"),"Yiyang City")</f>
        <v>Yiyang City</v>
      </c>
      <c r="E435" s="1" t="s">
        <v>418</v>
      </c>
      <c r="F435" s="1" t="str">
        <f>IFERROR(__xludf.DUMMYFUNCTION("GOOGLETRANSLATE(E435, ""zh-CN"", ""en"")"),"Hunan Yiyang High -tech Industrial Park")</f>
        <v>Hunan Yiyang High -tech Industrial Park</v>
      </c>
      <c r="G435" s="1">
        <v>4.30972E11</v>
      </c>
    </row>
    <row r="436">
      <c r="A436" s="1" t="s">
        <v>320</v>
      </c>
      <c r="B436" s="1" t="str">
        <f>IFERROR(__xludf.DUMMYFUNCTION("GOOGLETRANSLATE(A362, ""zh-CN"", ""en"")"),"Hunan Province")</f>
        <v>Hunan Province</v>
      </c>
      <c r="C436" s="1" t="s">
        <v>329</v>
      </c>
      <c r="D436" s="1" t="str">
        <f>IFERROR(__xludf.DUMMYFUNCTION("GOOGLETRANSLATE(C436, ""zh-CN"", ""en"")"),"Yiyang City")</f>
        <v>Yiyang City</v>
      </c>
      <c r="E436" s="1" t="s">
        <v>419</v>
      </c>
      <c r="F436" s="1" t="str">
        <f>IFERROR(__xludf.DUMMYFUNCTION("GOOGLETRANSLATE(E436, ""zh-CN"", ""en"")"),"Qijiang City")</f>
        <v>Qijiang City</v>
      </c>
      <c r="G436" s="1">
        <v>4.30981E11</v>
      </c>
    </row>
    <row r="437">
      <c r="A437" s="1" t="s">
        <v>320</v>
      </c>
      <c r="B437" s="1" t="str">
        <f>IFERROR(__xludf.DUMMYFUNCTION("GOOGLETRANSLATE(A363, ""zh-CN"", ""en"")"),"Hunan Province")</f>
        <v>Hunan Province</v>
      </c>
      <c r="C437" s="1" t="s">
        <v>330</v>
      </c>
      <c r="D437" s="1" t="str">
        <f>IFERROR(__xludf.DUMMYFUNCTION("GOOGLETRANSLATE(C437, ""zh-CN"", ""en"")"),"Luzhou")</f>
        <v>Luzhou</v>
      </c>
      <c r="E437" s="1" t="s">
        <v>24</v>
      </c>
      <c r="F437" s="1" t="str">
        <f>IFERROR(__xludf.DUMMYFUNCTION("GOOGLETRANSLATE(E437, ""zh-CN"", ""en"")"),"City area")</f>
        <v>City area</v>
      </c>
      <c r="G437" s="1">
        <v>4.31001E11</v>
      </c>
    </row>
    <row r="438">
      <c r="A438" s="1" t="s">
        <v>320</v>
      </c>
      <c r="B438" s="1" t="str">
        <f>IFERROR(__xludf.DUMMYFUNCTION("GOOGLETRANSLATE(A364, ""zh-CN"", ""en"")"),"Hunan Province")</f>
        <v>Hunan Province</v>
      </c>
      <c r="C438" s="1" t="s">
        <v>330</v>
      </c>
      <c r="D438" s="1" t="str">
        <f>IFERROR(__xludf.DUMMYFUNCTION("GOOGLETRANSLATE(C438, ""zh-CN"", ""en"")"),"Luzhou")</f>
        <v>Luzhou</v>
      </c>
      <c r="E438" s="1" t="s">
        <v>420</v>
      </c>
      <c r="F438" s="1" t="str">
        <f>IFERROR(__xludf.DUMMYFUNCTION("GOOGLETRANSLATE(E438, ""zh-CN"", ""en"")"),"Beihu District")</f>
        <v>Beihu District</v>
      </c>
      <c r="G438" s="1">
        <v>4.31002E11</v>
      </c>
    </row>
    <row r="439">
      <c r="A439" s="1" t="s">
        <v>320</v>
      </c>
      <c r="B439" s="1" t="str">
        <f>IFERROR(__xludf.DUMMYFUNCTION("GOOGLETRANSLATE(A365, ""zh-CN"", ""en"")"),"Hunan Province")</f>
        <v>Hunan Province</v>
      </c>
      <c r="C439" s="1" t="s">
        <v>330</v>
      </c>
      <c r="D439" s="1" t="str">
        <f>IFERROR(__xludf.DUMMYFUNCTION("GOOGLETRANSLATE(C439, ""zh-CN"", ""en"")"),"Luzhou")</f>
        <v>Luzhou</v>
      </c>
      <c r="E439" s="1" t="s">
        <v>421</v>
      </c>
      <c r="F439" s="1" t="str">
        <f>IFERROR(__xludf.DUMMYFUNCTION("GOOGLETRANSLATE(E439, ""zh-CN"", ""en"")"),"Suxian District")</f>
        <v>Suxian District</v>
      </c>
      <c r="G439" s="1">
        <v>4.31003E11</v>
      </c>
    </row>
    <row r="440">
      <c r="A440" s="1" t="s">
        <v>320</v>
      </c>
      <c r="B440" s="1" t="str">
        <f>IFERROR(__xludf.DUMMYFUNCTION("GOOGLETRANSLATE(A366, ""zh-CN"", ""en"")"),"Hunan Province")</f>
        <v>Hunan Province</v>
      </c>
      <c r="C440" s="1" t="s">
        <v>330</v>
      </c>
      <c r="D440" s="1" t="str">
        <f>IFERROR(__xludf.DUMMYFUNCTION("GOOGLETRANSLATE(C440, ""zh-CN"", ""en"")"),"Luzhou")</f>
        <v>Luzhou</v>
      </c>
      <c r="E440" s="1" t="s">
        <v>422</v>
      </c>
      <c r="F440" s="1" t="str">
        <f>IFERROR(__xludf.DUMMYFUNCTION("GOOGLETRANSLATE(E440, ""zh-CN"", ""en"")"),"Guiyang County")</f>
        <v>Guiyang County</v>
      </c>
      <c r="G440" s="1">
        <v>4.31021E11</v>
      </c>
    </row>
    <row r="441">
      <c r="A441" s="1" t="s">
        <v>320</v>
      </c>
      <c r="B441" s="1" t="str">
        <f>IFERROR(__xludf.DUMMYFUNCTION("GOOGLETRANSLATE(A367, ""zh-CN"", ""en"")"),"Hunan Province")</f>
        <v>Hunan Province</v>
      </c>
      <c r="C441" s="1" t="s">
        <v>330</v>
      </c>
      <c r="D441" s="1" t="str">
        <f>IFERROR(__xludf.DUMMYFUNCTION("GOOGLETRANSLATE(C441, ""zh-CN"", ""en"")"),"Luzhou")</f>
        <v>Luzhou</v>
      </c>
      <c r="E441" s="1" t="s">
        <v>423</v>
      </c>
      <c r="F441" s="1" t="str">
        <f>IFERROR(__xludf.DUMMYFUNCTION("GOOGLETRANSLATE(E441, ""zh-CN"", ""en"")"),"Yizhang County")</f>
        <v>Yizhang County</v>
      </c>
      <c r="G441" s="1">
        <v>4.31022E11</v>
      </c>
    </row>
    <row r="442">
      <c r="A442" s="1" t="s">
        <v>320</v>
      </c>
      <c r="B442" s="1" t="str">
        <f>IFERROR(__xludf.DUMMYFUNCTION("GOOGLETRANSLATE(A368, ""zh-CN"", ""en"")"),"Hunan Province")</f>
        <v>Hunan Province</v>
      </c>
      <c r="C442" s="1" t="s">
        <v>330</v>
      </c>
      <c r="D442" s="1" t="str">
        <f>IFERROR(__xludf.DUMMYFUNCTION("GOOGLETRANSLATE(C442, ""zh-CN"", ""en"")"),"Luzhou")</f>
        <v>Luzhou</v>
      </c>
      <c r="E442" s="1" t="s">
        <v>424</v>
      </c>
      <c r="F442" s="1" t="str">
        <f>IFERROR(__xludf.DUMMYFUNCTION("GOOGLETRANSLATE(E442, ""zh-CN"", ""en"")"),"Yongxing County")</f>
        <v>Yongxing County</v>
      </c>
      <c r="G442" s="1">
        <v>4.31023E11</v>
      </c>
    </row>
    <row r="443">
      <c r="A443" s="1" t="s">
        <v>320</v>
      </c>
      <c r="B443" s="1" t="str">
        <f>IFERROR(__xludf.DUMMYFUNCTION("GOOGLETRANSLATE(A369, ""zh-CN"", ""en"")"),"Hunan Province")</f>
        <v>Hunan Province</v>
      </c>
      <c r="C443" s="1" t="s">
        <v>330</v>
      </c>
      <c r="D443" s="1" t="str">
        <f>IFERROR(__xludf.DUMMYFUNCTION("GOOGLETRANSLATE(C443, ""zh-CN"", ""en"")"),"Luzhou")</f>
        <v>Luzhou</v>
      </c>
      <c r="E443" s="1" t="s">
        <v>425</v>
      </c>
      <c r="F443" s="1" t="str">
        <f>IFERROR(__xludf.DUMMYFUNCTION("GOOGLETRANSLATE(E443, ""zh-CN"", ""en"")"),"Jiahe County")</f>
        <v>Jiahe County</v>
      </c>
      <c r="G443" s="1">
        <v>4.31024E11</v>
      </c>
    </row>
    <row r="444">
      <c r="A444" s="1" t="s">
        <v>320</v>
      </c>
      <c r="B444" s="1" t="str">
        <f>IFERROR(__xludf.DUMMYFUNCTION("GOOGLETRANSLATE(A370, ""zh-CN"", ""en"")"),"Hunan Province")</f>
        <v>Hunan Province</v>
      </c>
      <c r="C444" s="1" t="s">
        <v>330</v>
      </c>
      <c r="D444" s="1" t="str">
        <f>IFERROR(__xludf.DUMMYFUNCTION("GOOGLETRANSLATE(C444, ""zh-CN"", ""en"")"),"Luzhou")</f>
        <v>Luzhou</v>
      </c>
      <c r="E444" s="1" t="s">
        <v>426</v>
      </c>
      <c r="F444" s="1" t="str">
        <f>IFERROR(__xludf.DUMMYFUNCTION("GOOGLETRANSLATE(E444, ""zh-CN"", ""en"")"),"Linwu County")</f>
        <v>Linwu County</v>
      </c>
      <c r="G444" s="1">
        <v>4.31025E11</v>
      </c>
    </row>
    <row r="445">
      <c r="A445" s="1" t="s">
        <v>320</v>
      </c>
      <c r="B445" s="1" t="str">
        <f>IFERROR(__xludf.DUMMYFUNCTION("GOOGLETRANSLATE(A371, ""zh-CN"", ""en"")"),"Hunan Province")</f>
        <v>Hunan Province</v>
      </c>
      <c r="C445" s="1" t="s">
        <v>330</v>
      </c>
      <c r="D445" s="1" t="str">
        <f>IFERROR(__xludf.DUMMYFUNCTION("GOOGLETRANSLATE(C445, ""zh-CN"", ""en"")"),"Luzhou")</f>
        <v>Luzhou</v>
      </c>
      <c r="E445" s="1" t="s">
        <v>427</v>
      </c>
      <c r="F445" s="1" t="str">
        <f>IFERROR(__xludf.DUMMYFUNCTION("GOOGLETRANSLATE(E445, ""zh-CN"", ""en"")"),"Rucheng County")</f>
        <v>Rucheng County</v>
      </c>
      <c r="G445" s="1">
        <v>4.31026E11</v>
      </c>
    </row>
    <row r="446">
      <c r="A446" s="1" t="s">
        <v>320</v>
      </c>
      <c r="B446" s="1" t="str">
        <f>IFERROR(__xludf.DUMMYFUNCTION("GOOGLETRANSLATE(A372, ""zh-CN"", ""en"")"),"Hunan Province")</f>
        <v>Hunan Province</v>
      </c>
      <c r="C446" s="1" t="s">
        <v>330</v>
      </c>
      <c r="D446" s="1" t="str">
        <f>IFERROR(__xludf.DUMMYFUNCTION("GOOGLETRANSLATE(C446, ""zh-CN"", ""en"")"),"Luzhou")</f>
        <v>Luzhou</v>
      </c>
      <c r="E446" s="1" t="s">
        <v>428</v>
      </c>
      <c r="F446" s="1" t="str">
        <f>IFERROR(__xludf.DUMMYFUNCTION("GOOGLETRANSLATE(E446, ""zh-CN"", ""en"")"),"Guidong County")</f>
        <v>Guidong County</v>
      </c>
      <c r="G446" s="1">
        <v>4.31027E11</v>
      </c>
    </row>
    <row r="447">
      <c r="A447" s="1" t="s">
        <v>320</v>
      </c>
      <c r="B447" s="1" t="str">
        <f>IFERROR(__xludf.DUMMYFUNCTION("GOOGLETRANSLATE(A373, ""zh-CN"", ""en"")"),"Hunan Province")</f>
        <v>Hunan Province</v>
      </c>
      <c r="C447" s="1" t="s">
        <v>330</v>
      </c>
      <c r="D447" s="1" t="str">
        <f>IFERROR(__xludf.DUMMYFUNCTION("GOOGLETRANSLATE(C447, ""zh-CN"", ""en"")"),"Luzhou")</f>
        <v>Luzhou</v>
      </c>
      <c r="E447" s="1" t="s">
        <v>429</v>
      </c>
      <c r="F447" s="1" t="str">
        <f>IFERROR(__xludf.DUMMYFUNCTION("GOOGLETRANSLATE(E447, ""zh-CN"", ""en"")"),"Anren County")</f>
        <v>Anren County</v>
      </c>
      <c r="G447" s="1">
        <v>4.31028E11</v>
      </c>
    </row>
    <row r="448">
      <c r="A448" s="1" t="s">
        <v>320</v>
      </c>
      <c r="B448" s="1" t="str">
        <f>IFERROR(__xludf.DUMMYFUNCTION("GOOGLETRANSLATE(A374, ""zh-CN"", ""en"")"),"Hunan Province")</f>
        <v>Hunan Province</v>
      </c>
      <c r="C448" s="1" t="s">
        <v>330</v>
      </c>
      <c r="D448" s="1" t="str">
        <f>IFERROR(__xludf.DUMMYFUNCTION("GOOGLETRANSLATE(C448, ""zh-CN"", ""en"")"),"Luzhou")</f>
        <v>Luzhou</v>
      </c>
      <c r="E448" s="1" t="s">
        <v>430</v>
      </c>
      <c r="F448" s="1" t="str">
        <f>IFERROR(__xludf.DUMMYFUNCTION("GOOGLETRANSLATE(E448, ""zh-CN"", ""en"")"),"Zixing City")</f>
        <v>Zixing City</v>
      </c>
      <c r="G448" s="1">
        <v>4.31081E11</v>
      </c>
    </row>
    <row r="449">
      <c r="A449" s="1" t="s">
        <v>320</v>
      </c>
      <c r="B449" s="1" t="str">
        <f>IFERROR(__xludf.DUMMYFUNCTION("GOOGLETRANSLATE(A375, ""zh-CN"", ""en"")"),"Hunan Province")</f>
        <v>Hunan Province</v>
      </c>
      <c r="C449" s="1" t="s">
        <v>331</v>
      </c>
      <c r="D449" s="1" t="str">
        <f>IFERROR(__xludf.DUMMYFUNCTION("GOOGLETRANSLATE(C449, ""zh-CN"", ""en"")"),"Yongzhou")</f>
        <v>Yongzhou</v>
      </c>
      <c r="E449" s="1" t="s">
        <v>24</v>
      </c>
      <c r="F449" s="1" t="str">
        <f>IFERROR(__xludf.DUMMYFUNCTION("GOOGLETRANSLATE(E449, ""zh-CN"", ""en"")"),"City area")</f>
        <v>City area</v>
      </c>
      <c r="G449" s="1">
        <v>4.31101E11</v>
      </c>
    </row>
    <row r="450">
      <c r="A450" s="1" t="s">
        <v>320</v>
      </c>
      <c r="B450" s="1" t="str">
        <f>IFERROR(__xludf.DUMMYFUNCTION("GOOGLETRANSLATE(A376, ""zh-CN"", ""en"")"),"Hunan Province")</f>
        <v>Hunan Province</v>
      </c>
      <c r="C450" s="1" t="s">
        <v>331</v>
      </c>
      <c r="D450" s="1" t="str">
        <f>IFERROR(__xludf.DUMMYFUNCTION("GOOGLETRANSLATE(C450, ""zh-CN"", ""en"")"),"Yongzhou")</f>
        <v>Yongzhou</v>
      </c>
      <c r="E450" s="1" t="s">
        <v>431</v>
      </c>
      <c r="F450" s="1" t="str">
        <f>IFERROR(__xludf.DUMMYFUNCTION("GOOGLETRANSLATE(E450, ""zh-CN"", ""en"")"),"Lingling District")</f>
        <v>Lingling District</v>
      </c>
      <c r="G450" s="1">
        <v>4.31102E11</v>
      </c>
    </row>
    <row r="451">
      <c r="A451" s="1" t="s">
        <v>320</v>
      </c>
      <c r="B451" s="1" t="str">
        <f>IFERROR(__xludf.DUMMYFUNCTION("GOOGLETRANSLATE(A377, ""zh-CN"", ""en"")"),"Hunan Province")</f>
        <v>Hunan Province</v>
      </c>
      <c r="C451" s="1" t="s">
        <v>331</v>
      </c>
      <c r="D451" s="1" t="str">
        <f>IFERROR(__xludf.DUMMYFUNCTION("GOOGLETRANSLATE(C451, ""zh-CN"", ""en"")"),"Yongzhou")</f>
        <v>Yongzhou</v>
      </c>
      <c r="E451" s="1" t="s">
        <v>432</v>
      </c>
      <c r="F451" s="1" t="str">
        <f>IFERROR(__xludf.DUMMYFUNCTION("GOOGLETRANSLATE(E451, ""zh-CN"", ""en"")"),"Cold water beach area")</f>
        <v>Cold water beach area</v>
      </c>
      <c r="G451" s="1">
        <v>4.31103E11</v>
      </c>
    </row>
    <row r="452">
      <c r="A452" s="1" t="s">
        <v>320</v>
      </c>
      <c r="B452" s="1" t="str">
        <f>IFERROR(__xludf.DUMMYFUNCTION("GOOGLETRANSLATE(A378, ""zh-CN"", ""en"")"),"Hunan Province")</f>
        <v>Hunan Province</v>
      </c>
      <c r="C452" s="1" t="s">
        <v>331</v>
      </c>
      <c r="D452" s="1" t="str">
        <f>IFERROR(__xludf.DUMMYFUNCTION("GOOGLETRANSLATE(C452, ""zh-CN"", ""en"")"),"Yongzhou")</f>
        <v>Yongzhou</v>
      </c>
      <c r="E452" s="1" t="s">
        <v>433</v>
      </c>
      <c r="F452" s="1" t="str">
        <f>IFERROR(__xludf.DUMMYFUNCTION("GOOGLETRANSLATE(E452, ""zh-CN"", ""en"")"),"Dong'an County")</f>
        <v>Dong'an County</v>
      </c>
      <c r="G452" s="1">
        <v>4.31122E11</v>
      </c>
    </row>
    <row r="453">
      <c r="A453" s="1" t="s">
        <v>320</v>
      </c>
      <c r="B453" s="1" t="str">
        <f>IFERROR(__xludf.DUMMYFUNCTION("GOOGLETRANSLATE(A379, ""zh-CN"", ""en"")"),"Hunan Province")</f>
        <v>Hunan Province</v>
      </c>
      <c r="C453" s="1" t="s">
        <v>331</v>
      </c>
      <c r="D453" s="1" t="str">
        <f>IFERROR(__xludf.DUMMYFUNCTION("GOOGLETRANSLATE(C453, ""zh-CN"", ""en"")"),"Yongzhou")</f>
        <v>Yongzhou</v>
      </c>
      <c r="E453" s="1" t="s">
        <v>434</v>
      </c>
      <c r="F453" s="1" t="str">
        <f>IFERROR(__xludf.DUMMYFUNCTION("GOOGLETRANSLATE(E453, ""zh-CN"", ""en"")"),"Dual -card county")</f>
        <v>Dual -card county</v>
      </c>
      <c r="G453" s="1">
        <v>4.31123E11</v>
      </c>
    </row>
    <row r="454">
      <c r="A454" s="1" t="s">
        <v>320</v>
      </c>
      <c r="B454" s="1" t="str">
        <f>IFERROR(__xludf.DUMMYFUNCTION("GOOGLETRANSLATE(A380, ""zh-CN"", ""en"")"),"Hunan Province")</f>
        <v>Hunan Province</v>
      </c>
      <c r="C454" s="1" t="s">
        <v>331</v>
      </c>
      <c r="D454" s="1" t="str">
        <f>IFERROR(__xludf.DUMMYFUNCTION("GOOGLETRANSLATE(C454, ""zh-CN"", ""en"")"),"Yongzhou")</f>
        <v>Yongzhou</v>
      </c>
      <c r="E454" s="1" t="s">
        <v>435</v>
      </c>
      <c r="F454" s="1" t="str">
        <f>IFERROR(__xludf.DUMMYFUNCTION("GOOGLETRANSLATE(E454, ""zh-CN"", ""en"")"),"Daoxian")</f>
        <v>Daoxian</v>
      </c>
      <c r="G454" s="1">
        <v>4.31124E11</v>
      </c>
    </row>
    <row r="455">
      <c r="A455" s="1" t="s">
        <v>320</v>
      </c>
      <c r="B455" s="1" t="str">
        <f>IFERROR(__xludf.DUMMYFUNCTION("GOOGLETRANSLATE(A381, ""zh-CN"", ""en"")"),"Hunan Province")</f>
        <v>Hunan Province</v>
      </c>
      <c r="C455" s="1" t="s">
        <v>331</v>
      </c>
      <c r="D455" s="1" t="str">
        <f>IFERROR(__xludf.DUMMYFUNCTION("GOOGLETRANSLATE(C455, ""zh-CN"", ""en"")"),"Yongzhou")</f>
        <v>Yongzhou</v>
      </c>
      <c r="E455" s="1" t="s">
        <v>436</v>
      </c>
      <c r="F455" s="1" t="str">
        <f>IFERROR(__xludf.DUMMYFUNCTION("GOOGLETRANSLATE(E455, ""zh-CN"", ""en"")"),"Jiangyong County")</f>
        <v>Jiangyong County</v>
      </c>
      <c r="G455" s="1">
        <v>4.31125E11</v>
      </c>
    </row>
    <row r="456">
      <c r="A456" s="1" t="s">
        <v>320</v>
      </c>
      <c r="B456" s="1" t="str">
        <f>IFERROR(__xludf.DUMMYFUNCTION("GOOGLETRANSLATE(A382, ""zh-CN"", ""en"")"),"Hunan Province")</f>
        <v>Hunan Province</v>
      </c>
      <c r="C456" s="1" t="s">
        <v>331</v>
      </c>
      <c r="D456" s="1" t="str">
        <f>IFERROR(__xludf.DUMMYFUNCTION("GOOGLETRANSLATE(C456, ""zh-CN"", ""en"")"),"Yongzhou")</f>
        <v>Yongzhou</v>
      </c>
      <c r="E456" s="1" t="s">
        <v>437</v>
      </c>
      <c r="F456" s="1" t="str">
        <f>IFERROR(__xludf.DUMMYFUNCTION("GOOGLETRANSLATE(E456, ""zh-CN"", ""en"")"),"Ningyuan County")</f>
        <v>Ningyuan County</v>
      </c>
      <c r="G456" s="1">
        <v>4.31126E11</v>
      </c>
    </row>
    <row r="457">
      <c r="A457" s="1" t="s">
        <v>320</v>
      </c>
      <c r="B457" s="1" t="str">
        <f>IFERROR(__xludf.DUMMYFUNCTION("GOOGLETRANSLATE(A383, ""zh-CN"", ""en"")"),"Hunan Province")</f>
        <v>Hunan Province</v>
      </c>
      <c r="C457" s="1" t="s">
        <v>331</v>
      </c>
      <c r="D457" s="1" t="str">
        <f>IFERROR(__xludf.DUMMYFUNCTION("GOOGLETRANSLATE(C457, ""zh-CN"", ""en"")"),"Yongzhou")</f>
        <v>Yongzhou</v>
      </c>
      <c r="E457" s="1" t="s">
        <v>438</v>
      </c>
      <c r="F457" s="1" t="str">
        <f>IFERROR(__xludf.DUMMYFUNCTION("GOOGLETRANSLATE(E457, ""zh-CN"", ""en"")"),"Lan Mountain County")</f>
        <v>Lan Mountain County</v>
      </c>
      <c r="G457" s="1">
        <v>4.31127E11</v>
      </c>
    </row>
    <row r="458">
      <c r="A458" s="1" t="s">
        <v>320</v>
      </c>
      <c r="B458" s="1" t="str">
        <f>IFERROR(__xludf.DUMMYFUNCTION("GOOGLETRANSLATE(A384, ""zh-CN"", ""en"")"),"Hunan Province")</f>
        <v>Hunan Province</v>
      </c>
      <c r="C458" s="1" t="s">
        <v>331</v>
      </c>
      <c r="D458" s="1" t="str">
        <f>IFERROR(__xludf.DUMMYFUNCTION("GOOGLETRANSLATE(C458, ""zh-CN"", ""en"")"),"Yongzhou")</f>
        <v>Yongzhou</v>
      </c>
      <c r="E458" s="1" t="s">
        <v>439</v>
      </c>
      <c r="F458" s="1" t="str">
        <f>IFERROR(__xludf.DUMMYFUNCTION("GOOGLETRANSLATE(E458, ""zh-CN"", ""en"")"),"Xintian County")</f>
        <v>Xintian County</v>
      </c>
      <c r="G458" s="1">
        <v>4.31128E11</v>
      </c>
    </row>
    <row r="459">
      <c r="A459" s="1" t="s">
        <v>320</v>
      </c>
      <c r="B459" s="1" t="str">
        <f>IFERROR(__xludf.DUMMYFUNCTION("GOOGLETRANSLATE(A385, ""zh-CN"", ""en"")"),"Hunan Province")</f>
        <v>Hunan Province</v>
      </c>
      <c r="C459" s="1" t="s">
        <v>331</v>
      </c>
      <c r="D459" s="1" t="str">
        <f>IFERROR(__xludf.DUMMYFUNCTION("GOOGLETRANSLATE(C459, ""zh-CN"", ""en"")"),"Yongzhou")</f>
        <v>Yongzhou</v>
      </c>
      <c r="E459" s="1" t="s">
        <v>440</v>
      </c>
      <c r="F459" s="1" t="str">
        <f>IFERROR(__xludf.DUMMYFUNCTION("GOOGLETRANSLATE(E459, ""zh-CN"", ""en"")"),"Jianghua Yao Autonomous County")</f>
        <v>Jianghua Yao Autonomous County</v>
      </c>
      <c r="G459" s="1">
        <v>4.31129E11</v>
      </c>
    </row>
    <row r="460">
      <c r="A460" s="1" t="s">
        <v>320</v>
      </c>
      <c r="B460" s="1" t="str">
        <f>IFERROR(__xludf.DUMMYFUNCTION("GOOGLETRANSLATE(A386, ""zh-CN"", ""en"")"),"Hunan Province")</f>
        <v>Hunan Province</v>
      </c>
      <c r="C460" s="1" t="s">
        <v>331</v>
      </c>
      <c r="D460" s="1" t="str">
        <f>IFERROR(__xludf.DUMMYFUNCTION("GOOGLETRANSLATE(C460, ""zh-CN"", ""en"")"),"Yongzhou")</f>
        <v>Yongzhou</v>
      </c>
      <c r="E460" s="1" t="s">
        <v>441</v>
      </c>
      <c r="F460" s="1" t="str">
        <f>IFERROR(__xludf.DUMMYFUNCTION("GOOGLETRANSLATE(E460, ""zh-CN"", ""en"")"),"Yongzhou Economic and Technological Development Zone")</f>
        <v>Yongzhou Economic and Technological Development Zone</v>
      </c>
      <c r="G460" s="1">
        <v>4.31171E11</v>
      </c>
    </row>
    <row r="461">
      <c r="A461" s="1" t="s">
        <v>320</v>
      </c>
      <c r="B461" s="1" t="str">
        <f>IFERROR(__xludf.DUMMYFUNCTION("GOOGLETRANSLATE(A387, ""zh-CN"", ""en"")"),"Hunan Province")</f>
        <v>Hunan Province</v>
      </c>
      <c r="C461" s="1" t="s">
        <v>331</v>
      </c>
      <c r="D461" s="1" t="str">
        <f>IFERROR(__xludf.DUMMYFUNCTION("GOOGLETRANSLATE(C461, ""zh-CN"", ""en"")"),"Yongzhou")</f>
        <v>Yongzhou</v>
      </c>
      <c r="E461" s="1" t="s">
        <v>442</v>
      </c>
      <c r="F461" s="1" t="str">
        <f>IFERROR(__xludf.DUMMYFUNCTION("GOOGLETRANSLATE(E461, ""zh-CN"", ""en"")"),"Yongzhou Huilongyu Management Zone")</f>
        <v>Yongzhou Huilongyu Management Zone</v>
      </c>
      <c r="G461" s="1">
        <v>4.31173E11</v>
      </c>
    </row>
    <row r="462">
      <c r="A462" s="1" t="s">
        <v>320</v>
      </c>
      <c r="B462" s="1" t="str">
        <f>IFERROR(__xludf.DUMMYFUNCTION("GOOGLETRANSLATE(A388, ""zh-CN"", ""en"")"),"Hunan Province")</f>
        <v>Hunan Province</v>
      </c>
      <c r="C462" s="1" t="s">
        <v>331</v>
      </c>
      <c r="D462" s="1" t="str">
        <f>IFERROR(__xludf.DUMMYFUNCTION("GOOGLETRANSLATE(C462, ""zh-CN"", ""en"")"),"Yongzhou")</f>
        <v>Yongzhou</v>
      </c>
      <c r="E462" s="1" t="s">
        <v>443</v>
      </c>
      <c r="F462" s="1" t="str">
        <f>IFERROR(__xludf.DUMMYFUNCTION("GOOGLETRANSLATE(E462, ""zh-CN"", ""en"")"),"Qiyang City")</f>
        <v>Qiyang City</v>
      </c>
      <c r="G462" s="1">
        <v>4.31181E11</v>
      </c>
    </row>
    <row r="463">
      <c r="A463" s="1" t="s">
        <v>320</v>
      </c>
      <c r="B463" s="1" t="str">
        <f>IFERROR(__xludf.DUMMYFUNCTION("GOOGLETRANSLATE(A389, ""zh-CN"", ""en"")"),"Hunan Province")</f>
        <v>Hunan Province</v>
      </c>
      <c r="C463" s="1" t="s">
        <v>332</v>
      </c>
      <c r="D463" s="1" t="str">
        <f>IFERROR(__xludf.DUMMYFUNCTION("GOOGLETRANSLATE(C463, ""zh-CN"", ""en"")"),"Huaihua City")</f>
        <v>Huaihua City</v>
      </c>
      <c r="E463" s="1" t="s">
        <v>24</v>
      </c>
      <c r="F463" s="1" t="str">
        <f>IFERROR(__xludf.DUMMYFUNCTION("GOOGLETRANSLATE(E463, ""zh-CN"", ""en"")"),"City area")</f>
        <v>City area</v>
      </c>
      <c r="G463" s="1">
        <v>4.31201E11</v>
      </c>
    </row>
    <row r="464">
      <c r="A464" s="1" t="s">
        <v>320</v>
      </c>
      <c r="B464" s="1" t="str">
        <f>IFERROR(__xludf.DUMMYFUNCTION("GOOGLETRANSLATE(A390, ""zh-CN"", ""en"")"),"Hunan Province")</f>
        <v>Hunan Province</v>
      </c>
      <c r="C464" s="1" t="s">
        <v>332</v>
      </c>
      <c r="D464" s="1" t="str">
        <f>IFERROR(__xludf.DUMMYFUNCTION("GOOGLETRANSLATE(C464, ""zh-CN"", ""en"")"),"Huaihua City")</f>
        <v>Huaihua City</v>
      </c>
      <c r="E464" s="1" t="s">
        <v>444</v>
      </c>
      <c r="F464" s="1" t="str">
        <f>IFERROR(__xludf.DUMMYFUNCTION("GOOGLETRANSLATE(E464, ""zh-CN"", ""en"")"),"Cricket area")</f>
        <v>Cricket area</v>
      </c>
      <c r="G464" s="1">
        <v>4.31202E11</v>
      </c>
    </row>
    <row r="465">
      <c r="A465" s="1" t="s">
        <v>320</v>
      </c>
      <c r="B465" s="1" t="str">
        <f>IFERROR(__xludf.DUMMYFUNCTION("GOOGLETRANSLATE(A391, ""zh-CN"", ""en"")"),"Hunan Province")</f>
        <v>Hunan Province</v>
      </c>
      <c r="C465" s="1" t="s">
        <v>332</v>
      </c>
      <c r="D465" s="1" t="str">
        <f>IFERROR(__xludf.DUMMYFUNCTION("GOOGLETRANSLATE(C465, ""zh-CN"", ""en"")"),"Huaihua City")</f>
        <v>Huaihua City</v>
      </c>
      <c r="E465" s="1" t="s">
        <v>445</v>
      </c>
      <c r="F465" s="1" t="str">
        <f>IFERROR(__xludf.DUMMYFUNCTION("GOOGLETRANSLATE(E465, ""zh-CN"", ""en"")"),"Chinese county")</f>
        <v>Chinese county</v>
      </c>
      <c r="G465" s="1">
        <v>4.31221E11</v>
      </c>
    </row>
    <row r="466">
      <c r="A466" s="1" t="s">
        <v>320</v>
      </c>
      <c r="B466" s="1" t="str">
        <f>IFERROR(__xludf.DUMMYFUNCTION("GOOGLETRANSLATE(A392, ""zh-CN"", ""en"")"),"Hunan Province")</f>
        <v>Hunan Province</v>
      </c>
      <c r="C466" s="1" t="s">
        <v>332</v>
      </c>
      <c r="D466" s="1" t="str">
        <f>IFERROR(__xludf.DUMMYFUNCTION("GOOGLETRANSLATE(C466, ""zh-CN"", ""en"")"),"Huaihua City")</f>
        <v>Huaihua City</v>
      </c>
      <c r="E466" s="1" t="s">
        <v>446</v>
      </c>
      <c r="F466" s="1" t="str">
        <f>IFERROR(__xludf.DUMMYFUNCTION("GOOGLETRANSLATE(E466, ""zh-CN"", ""en"")"),"Fuling County")</f>
        <v>Fuling County</v>
      </c>
      <c r="G466" s="1">
        <v>4.31222E11</v>
      </c>
    </row>
    <row r="467">
      <c r="A467" s="1" t="s">
        <v>320</v>
      </c>
      <c r="B467" s="1" t="str">
        <f>IFERROR(__xludf.DUMMYFUNCTION("GOOGLETRANSLATE(A393, ""zh-CN"", ""en"")"),"Hunan Province")</f>
        <v>Hunan Province</v>
      </c>
      <c r="C467" s="1" t="s">
        <v>332</v>
      </c>
      <c r="D467" s="1" t="str">
        <f>IFERROR(__xludf.DUMMYFUNCTION("GOOGLETRANSLATE(C467, ""zh-CN"", ""en"")"),"Huaihua City")</f>
        <v>Huaihua City</v>
      </c>
      <c r="E467" s="1" t="s">
        <v>447</v>
      </c>
      <c r="F467" s="1" t="str">
        <f>IFERROR(__xludf.DUMMYFUNCTION("GOOGLETRANSLATE(E467, ""zh-CN"", ""en"")"),"Chenxi County")</f>
        <v>Chenxi County</v>
      </c>
      <c r="G467" s="1">
        <v>4.31223E11</v>
      </c>
    </row>
    <row r="468">
      <c r="A468" s="1" t="s">
        <v>320</v>
      </c>
      <c r="B468" s="1" t="str">
        <f>IFERROR(__xludf.DUMMYFUNCTION("GOOGLETRANSLATE(A394, ""zh-CN"", ""en"")"),"Hunan Province")</f>
        <v>Hunan Province</v>
      </c>
      <c r="C468" s="1" t="s">
        <v>332</v>
      </c>
      <c r="D468" s="1" t="str">
        <f>IFERROR(__xludf.DUMMYFUNCTION("GOOGLETRANSLATE(C468, ""zh-CN"", ""en"")"),"Huaihua City")</f>
        <v>Huaihua City</v>
      </c>
      <c r="E468" s="1" t="s">
        <v>448</v>
      </c>
      <c r="F468" s="1" t="str">
        <f>IFERROR(__xludf.DUMMYFUNCTION("GOOGLETRANSLATE(E468, ""zh-CN"", ""en"")"),"Xupu County")</f>
        <v>Xupu County</v>
      </c>
      <c r="G468" s="1">
        <v>4.31224E11</v>
      </c>
    </row>
    <row r="469">
      <c r="A469" s="1" t="s">
        <v>320</v>
      </c>
      <c r="B469" s="1" t="str">
        <f>IFERROR(__xludf.DUMMYFUNCTION("GOOGLETRANSLATE(A395, ""zh-CN"", ""en"")"),"Hunan Province")</f>
        <v>Hunan Province</v>
      </c>
      <c r="C469" s="1" t="s">
        <v>332</v>
      </c>
      <c r="D469" s="1" t="str">
        <f>IFERROR(__xludf.DUMMYFUNCTION("GOOGLETRANSLATE(C469, ""zh-CN"", ""en"")"),"Huaihua City")</f>
        <v>Huaihua City</v>
      </c>
      <c r="E469" s="1" t="s">
        <v>449</v>
      </c>
      <c r="F469" s="1" t="str">
        <f>IFERROR(__xludf.DUMMYFUNCTION("GOOGLETRANSLATE(E469, ""zh-CN"", ""en"")"),"Together with the county")</f>
        <v>Together with the county</v>
      </c>
      <c r="G469" s="1">
        <v>4.31225E11</v>
      </c>
    </row>
    <row r="470">
      <c r="A470" s="1" t="s">
        <v>320</v>
      </c>
      <c r="B470" s="1" t="str">
        <f>IFERROR(__xludf.DUMMYFUNCTION("GOOGLETRANSLATE(A396, ""zh-CN"", ""en"")"),"Hunan Province")</f>
        <v>Hunan Province</v>
      </c>
      <c r="C470" s="1" t="s">
        <v>332</v>
      </c>
      <c r="D470" s="1" t="str">
        <f>IFERROR(__xludf.DUMMYFUNCTION("GOOGLETRANSLATE(C470, ""zh-CN"", ""en"")"),"Huaihua City")</f>
        <v>Huaihua City</v>
      </c>
      <c r="E470" s="1" t="s">
        <v>450</v>
      </c>
      <c r="F470" s="1" t="str">
        <f>IFERROR(__xludf.DUMMYFUNCTION("GOOGLETRANSLATE(E470, ""zh-CN"", ""en"")"),"Mayang Miao Autonomous County")</f>
        <v>Mayang Miao Autonomous County</v>
      </c>
      <c r="G470" s="1">
        <v>4.31226E11</v>
      </c>
    </row>
    <row r="471">
      <c r="A471" s="1" t="s">
        <v>320</v>
      </c>
      <c r="B471" s="1" t="str">
        <f>IFERROR(__xludf.DUMMYFUNCTION("GOOGLETRANSLATE(A397, ""zh-CN"", ""en"")"),"Hunan Province")</f>
        <v>Hunan Province</v>
      </c>
      <c r="C471" s="1" t="s">
        <v>332</v>
      </c>
      <c r="D471" s="1" t="str">
        <f>IFERROR(__xludf.DUMMYFUNCTION("GOOGLETRANSLATE(C471, ""zh-CN"", ""en"")"),"Huaihua City")</f>
        <v>Huaihua City</v>
      </c>
      <c r="E471" s="1" t="s">
        <v>451</v>
      </c>
      <c r="F471" s="1" t="str">
        <f>IFERROR(__xludf.DUMMYFUNCTION("GOOGLETRANSLATE(E471, ""zh-CN"", ""en"")"),"Xinhuang Dong Autonomous County")</f>
        <v>Xinhuang Dong Autonomous County</v>
      </c>
      <c r="G471" s="1">
        <v>4.31227E11</v>
      </c>
    </row>
    <row r="472">
      <c r="A472" s="1" t="s">
        <v>320</v>
      </c>
      <c r="B472" s="1" t="str">
        <f>IFERROR(__xludf.DUMMYFUNCTION("GOOGLETRANSLATE(A398, ""zh-CN"", ""en"")"),"Hunan Province")</f>
        <v>Hunan Province</v>
      </c>
      <c r="C472" s="1" t="s">
        <v>332</v>
      </c>
      <c r="D472" s="1" t="str">
        <f>IFERROR(__xludf.DUMMYFUNCTION("GOOGLETRANSLATE(C472, ""zh-CN"", ""en"")"),"Huaihua City")</f>
        <v>Huaihua City</v>
      </c>
      <c r="E472" s="1" t="s">
        <v>452</v>
      </c>
      <c r="F472" s="1" t="str">
        <f>IFERROR(__xludf.DUMMYFUNCTION("GOOGLETRANSLATE(E472, ""zh-CN"", ""en"")"),"Qijiang Dai Autonomous County")</f>
        <v>Qijiang Dai Autonomous County</v>
      </c>
      <c r="G472" s="1">
        <v>4.31228E11</v>
      </c>
    </row>
    <row r="473">
      <c r="A473" s="1" t="s">
        <v>320</v>
      </c>
      <c r="B473" s="1" t="str">
        <f>IFERROR(__xludf.DUMMYFUNCTION("GOOGLETRANSLATE(A399, ""zh-CN"", ""en"")"),"Hunan Province")</f>
        <v>Hunan Province</v>
      </c>
      <c r="C473" s="1" t="s">
        <v>332</v>
      </c>
      <c r="D473" s="1" t="str">
        <f>IFERROR(__xludf.DUMMYFUNCTION("GOOGLETRANSLATE(C473, ""zh-CN"", ""en"")"),"Huaihua City")</f>
        <v>Huaihua City</v>
      </c>
      <c r="E473" s="1" t="s">
        <v>453</v>
      </c>
      <c r="F473" s="1" t="str">
        <f>IFERROR(__xludf.DUMMYFUNCTION("GOOGLETRANSLATE(E473, ""zh-CN"", ""en"")"),"Jingzhou Miao and Dong Autonomous County")</f>
        <v>Jingzhou Miao and Dong Autonomous County</v>
      </c>
      <c r="G473" s="1">
        <v>4.31229E11</v>
      </c>
    </row>
    <row r="474">
      <c r="A474" s="1" t="s">
        <v>320</v>
      </c>
      <c r="B474" s="1" t="str">
        <f>IFERROR(__xludf.DUMMYFUNCTION("GOOGLETRANSLATE(A400, ""zh-CN"", ""en"")"),"Hunan Province")</f>
        <v>Hunan Province</v>
      </c>
      <c r="C474" s="1" t="s">
        <v>332</v>
      </c>
      <c r="D474" s="1" t="str">
        <f>IFERROR(__xludf.DUMMYFUNCTION("GOOGLETRANSLATE(C474, ""zh-CN"", ""en"")"),"Huaihua City")</f>
        <v>Huaihua City</v>
      </c>
      <c r="E474" s="1" t="s">
        <v>454</v>
      </c>
      <c r="F474" s="1" t="str">
        <f>IFERROR(__xludf.DUMMYFUNCTION("GOOGLETRANSLATE(E474, ""zh-CN"", ""en"")"),"Channel Dai Autonomous County")</f>
        <v>Channel Dai Autonomous County</v>
      </c>
      <c r="G474" s="1">
        <v>4.3123E11</v>
      </c>
    </row>
    <row r="475">
      <c r="A475" s="1" t="s">
        <v>320</v>
      </c>
      <c r="B475" s="1" t="str">
        <f>IFERROR(__xludf.DUMMYFUNCTION("GOOGLETRANSLATE(A401, ""zh-CN"", ""en"")"),"Hunan Province")</f>
        <v>Hunan Province</v>
      </c>
      <c r="C475" s="1" t="s">
        <v>332</v>
      </c>
      <c r="D475" s="1" t="str">
        <f>IFERROR(__xludf.DUMMYFUNCTION("GOOGLETRANSLATE(C475, ""zh-CN"", ""en"")"),"Huaihua City")</f>
        <v>Huaihua City</v>
      </c>
      <c r="E475" s="1" t="s">
        <v>455</v>
      </c>
      <c r="F475" s="1" t="str">
        <f>IFERROR(__xludf.DUMMYFUNCTION("GOOGLETRANSLATE(E475, ""zh-CN"", ""en"")"),"Hongjiang Management District, Huaihua City")</f>
        <v>Hongjiang Management District, Huaihua City</v>
      </c>
      <c r="G475" s="1">
        <v>4.31271E11</v>
      </c>
    </row>
    <row r="476">
      <c r="A476" s="1" t="s">
        <v>320</v>
      </c>
      <c r="B476" s="1" t="str">
        <f>IFERROR(__xludf.DUMMYFUNCTION("GOOGLETRANSLATE(A402, ""zh-CN"", ""en"")"),"Hunan Province")</f>
        <v>Hunan Province</v>
      </c>
      <c r="C476" s="1" t="s">
        <v>332</v>
      </c>
      <c r="D476" s="1" t="str">
        <f>IFERROR(__xludf.DUMMYFUNCTION("GOOGLETRANSLATE(C476, ""zh-CN"", ""en"")"),"Huaihua City")</f>
        <v>Huaihua City</v>
      </c>
      <c r="E476" s="1" t="s">
        <v>456</v>
      </c>
      <c r="F476" s="1" t="str">
        <f>IFERROR(__xludf.DUMMYFUNCTION("GOOGLETRANSLATE(E476, ""zh-CN"", ""en"")"),"Hongjiang City")</f>
        <v>Hongjiang City</v>
      </c>
      <c r="G476" s="1">
        <v>4.31281E11</v>
      </c>
    </row>
    <row r="477">
      <c r="A477" s="1" t="s">
        <v>320</v>
      </c>
      <c r="B477" s="1" t="str">
        <f>IFERROR(__xludf.DUMMYFUNCTION("GOOGLETRANSLATE(A403, ""zh-CN"", ""en"")"),"Hunan Province")</f>
        <v>Hunan Province</v>
      </c>
      <c r="C477" s="1" t="s">
        <v>333</v>
      </c>
      <c r="D477" s="1" t="str">
        <f>IFERROR(__xludf.DUMMYFUNCTION("GOOGLETRANSLATE(C477, ""zh-CN"", ""en"")"),"Loudi City")</f>
        <v>Loudi City</v>
      </c>
      <c r="E477" s="1" t="s">
        <v>24</v>
      </c>
      <c r="F477" s="1" t="str">
        <f>IFERROR(__xludf.DUMMYFUNCTION("GOOGLETRANSLATE(E477, ""zh-CN"", ""en"")"),"City area")</f>
        <v>City area</v>
      </c>
      <c r="G477" s="1">
        <v>4.31301E11</v>
      </c>
    </row>
    <row r="478">
      <c r="A478" s="1" t="s">
        <v>320</v>
      </c>
      <c r="B478" s="1" t="str">
        <f>IFERROR(__xludf.DUMMYFUNCTION("GOOGLETRANSLATE(A404, ""zh-CN"", ""en"")"),"Hunan Province")</f>
        <v>Hunan Province</v>
      </c>
      <c r="C478" s="1" t="s">
        <v>333</v>
      </c>
      <c r="D478" s="1" t="str">
        <f>IFERROR(__xludf.DUMMYFUNCTION("GOOGLETRANSLATE(C478, ""zh-CN"", ""en"")"),"Loudi City")</f>
        <v>Loudi City</v>
      </c>
      <c r="E478" s="1" t="s">
        <v>457</v>
      </c>
      <c r="F478" s="1" t="str">
        <f>IFERROR(__xludf.DUMMYFUNCTION("GOOGLETRANSLATE(E478, ""zh-CN"", ""en"")"),"Louxing District")</f>
        <v>Louxing District</v>
      </c>
      <c r="G478" s="1">
        <v>4.31302E11</v>
      </c>
    </row>
    <row r="479">
      <c r="A479" s="1" t="s">
        <v>320</v>
      </c>
      <c r="B479" s="1" t="str">
        <f>IFERROR(__xludf.DUMMYFUNCTION("GOOGLETRANSLATE(A405, ""zh-CN"", ""en"")"),"Hunan Province")</f>
        <v>Hunan Province</v>
      </c>
      <c r="C479" s="1" t="s">
        <v>333</v>
      </c>
      <c r="D479" s="1" t="str">
        <f>IFERROR(__xludf.DUMMYFUNCTION("GOOGLETRANSLATE(C479, ""zh-CN"", ""en"")"),"Loudi City")</f>
        <v>Loudi City</v>
      </c>
      <c r="E479" s="1" t="s">
        <v>458</v>
      </c>
      <c r="F479" s="1" t="str">
        <f>IFERROR(__xludf.DUMMYFUNCTION("GOOGLETRANSLATE(E479, ""zh-CN"", ""en"")"),"Shuangfeng County")</f>
        <v>Shuangfeng County</v>
      </c>
      <c r="G479" s="1">
        <v>4.31321E11</v>
      </c>
    </row>
    <row r="480">
      <c r="A480" s="1" t="s">
        <v>320</v>
      </c>
      <c r="B480" s="1" t="str">
        <f>IFERROR(__xludf.DUMMYFUNCTION("GOOGLETRANSLATE(A406, ""zh-CN"", ""en"")"),"Hunan Province")</f>
        <v>Hunan Province</v>
      </c>
      <c r="C480" s="1" t="s">
        <v>333</v>
      </c>
      <c r="D480" s="1" t="str">
        <f>IFERROR(__xludf.DUMMYFUNCTION("GOOGLETRANSLATE(C480, ""zh-CN"", ""en"")"),"Loudi City")</f>
        <v>Loudi City</v>
      </c>
      <c r="E480" s="1" t="s">
        <v>459</v>
      </c>
      <c r="F480" s="1" t="str">
        <f>IFERROR(__xludf.DUMMYFUNCTION("GOOGLETRANSLATE(E480, ""zh-CN"", ""en"")"),"Xinhua County")</f>
        <v>Xinhua County</v>
      </c>
      <c r="G480" s="1">
        <v>4.31322E11</v>
      </c>
    </row>
    <row r="481">
      <c r="A481" s="1" t="s">
        <v>320</v>
      </c>
      <c r="B481" s="1" t="str">
        <f>IFERROR(__xludf.DUMMYFUNCTION("GOOGLETRANSLATE(A407, ""zh-CN"", ""en"")"),"Hunan Province")</f>
        <v>Hunan Province</v>
      </c>
      <c r="C481" s="1" t="s">
        <v>333</v>
      </c>
      <c r="D481" s="1" t="str">
        <f>IFERROR(__xludf.DUMMYFUNCTION("GOOGLETRANSLATE(C481, ""zh-CN"", ""en"")"),"Loudi City")</f>
        <v>Loudi City</v>
      </c>
      <c r="E481" s="1" t="s">
        <v>460</v>
      </c>
      <c r="F481" s="1" t="str">
        <f>IFERROR(__xludf.DUMMYFUNCTION("GOOGLETRANSLATE(E481, ""zh-CN"", ""en"")"),"Lengshuijiang City")</f>
        <v>Lengshuijiang City</v>
      </c>
      <c r="G481" s="1">
        <v>4.31381E11</v>
      </c>
    </row>
    <row r="482">
      <c r="A482" s="1" t="s">
        <v>320</v>
      </c>
      <c r="B482" s="1" t="str">
        <f>IFERROR(__xludf.DUMMYFUNCTION("GOOGLETRANSLATE(A408, ""zh-CN"", ""en"")"),"Hunan Province")</f>
        <v>Hunan Province</v>
      </c>
      <c r="C482" s="1" t="s">
        <v>333</v>
      </c>
      <c r="D482" s="1" t="str">
        <f>IFERROR(__xludf.DUMMYFUNCTION("GOOGLETRANSLATE(C482, ""zh-CN"", ""en"")"),"Loudi City")</f>
        <v>Loudi City</v>
      </c>
      <c r="E482" s="1" t="s">
        <v>461</v>
      </c>
      <c r="F482" s="1" t="str">
        <f>IFERROR(__xludf.DUMMYFUNCTION("GOOGLETRANSLATE(E482, ""zh-CN"", ""en"")"),"Lianyuan City")</f>
        <v>Lianyuan City</v>
      </c>
      <c r="G482" s="1">
        <v>4.31382E11</v>
      </c>
    </row>
    <row r="483">
      <c r="A483" s="1" t="s">
        <v>320</v>
      </c>
      <c r="B483" s="1" t="str">
        <f>IFERROR(__xludf.DUMMYFUNCTION("GOOGLETRANSLATE(A409, ""zh-CN"", ""en"")"),"Hunan Province")</f>
        <v>Hunan Province</v>
      </c>
      <c r="C483" s="1" t="s">
        <v>334</v>
      </c>
      <c r="D483" s="1" t="str">
        <f>IFERROR(__xludf.DUMMYFUNCTION("GOOGLETRANSLATE(C483, ""zh-CN"", ""en"")"),"Xiangxi Tujia Miao Autonomous Prefecture")</f>
        <v>Xiangxi Tujia Miao Autonomous Prefecture</v>
      </c>
      <c r="E483" s="1" t="s">
        <v>462</v>
      </c>
      <c r="F483" s="1" t="str">
        <f>IFERROR(__xludf.DUMMYFUNCTION("GOOGLETRANSLATE(E483, ""zh-CN"", ""en"")"),"Jishou City")</f>
        <v>Jishou City</v>
      </c>
      <c r="G483" s="1">
        <v>4.33101E11</v>
      </c>
    </row>
    <row r="484">
      <c r="A484" s="1" t="s">
        <v>320</v>
      </c>
      <c r="B484" s="1" t="str">
        <f>IFERROR(__xludf.DUMMYFUNCTION("GOOGLETRANSLATE(A410, ""zh-CN"", ""en"")"),"Hunan Province")</f>
        <v>Hunan Province</v>
      </c>
      <c r="C484" s="1" t="s">
        <v>334</v>
      </c>
      <c r="D484" s="1" t="str">
        <f>IFERROR(__xludf.DUMMYFUNCTION("GOOGLETRANSLATE(C484, ""zh-CN"", ""en"")"),"Xiangxi Tujia Miao Autonomous Prefecture")</f>
        <v>Xiangxi Tujia Miao Autonomous Prefecture</v>
      </c>
      <c r="E484" s="1" t="s">
        <v>463</v>
      </c>
      <c r="F484" s="1" t="str">
        <f>IFERROR(__xludf.DUMMYFUNCTION("GOOGLETRANSLATE(E484, ""zh-CN"", ""en"")"),"Luxi County")</f>
        <v>Luxi County</v>
      </c>
      <c r="G484" s="1">
        <v>4.33122E11</v>
      </c>
    </row>
    <row r="485">
      <c r="A485" s="1" t="s">
        <v>320</v>
      </c>
      <c r="B485" s="1" t="str">
        <f>IFERROR(__xludf.DUMMYFUNCTION("GOOGLETRANSLATE(A411, ""zh-CN"", ""en"")"),"Hunan Province")</f>
        <v>Hunan Province</v>
      </c>
      <c r="C485" s="1" t="s">
        <v>334</v>
      </c>
      <c r="D485" s="1" t="str">
        <f>IFERROR(__xludf.DUMMYFUNCTION("GOOGLETRANSLATE(C485, ""zh-CN"", ""en"")"),"Xiangxi Tujia Miao Autonomous Prefecture")</f>
        <v>Xiangxi Tujia Miao Autonomous Prefecture</v>
      </c>
      <c r="E485" s="1" t="s">
        <v>464</v>
      </c>
      <c r="F485" s="1" t="str">
        <f>IFERROR(__xludf.DUMMYFUNCTION("GOOGLETRANSLATE(E485, ""zh-CN"", ""en"")"),"Phoenix")</f>
        <v>Phoenix</v>
      </c>
      <c r="G485" s="1">
        <v>4.33123E11</v>
      </c>
    </row>
    <row r="486">
      <c r="A486" s="1" t="s">
        <v>320</v>
      </c>
      <c r="B486" s="1" t="str">
        <f>IFERROR(__xludf.DUMMYFUNCTION("GOOGLETRANSLATE(A412, ""zh-CN"", ""en"")"),"Hunan Province")</f>
        <v>Hunan Province</v>
      </c>
      <c r="C486" s="1" t="s">
        <v>334</v>
      </c>
      <c r="D486" s="1" t="str">
        <f>IFERROR(__xludf.DUMMYFUNCTION("GOOGLETRANSLATE(C486, ""zh-CN"", ""en"")"),"Xiangxi Tujia Miao Autonomous Prefecture")</f>
        <v>Xiangxi Tujia Miao Autonomous Prefecture</v>
      </c>
      <c r="E486" s="1" t="s">
        <v>465</v>
      </c>
      <c r="F486" s="1" t="str">
        <f>IFERROR(__xludf.DUMMYFUNCTION("GOOGLETRANSLATE(E486, ""zh-CN"", ""en"")"),"Huayuan County")</f>
        <v>Huayuan County</v>
      </c>
      <c r="G486" s="1">
        <v>4.33124E11</v>
      </c>
    </row>
    <row r="487">
      <c r="A487" s="1" t="s">
        <v>320</v>
      </c>
      <c r="B487" s="1" t="str">
        <f>IFERROR(__xludf.DUMMYFUNCTION("GOOGLETRANSLATE(A413, ""zh-CN"", ""en"")"),"Hunan Province")</f>
        <v>Hunan Province</v>
      </c>
      <c r="C487" s="1" t="s">
        <v>334</v>
      </c>
      <c r="D487" s="1" t="str">
        <f>IFERROR(__xludf.DUMMYFUNCTION("GOOGLETRANSLATE(C487, ""zh-CN"", ""en"")"),"Xiangxi Tujia Miao Autonomous Prefecture")</f>
        <v>Xiangxi Tujia Miao Autonomous Prefecture</v>
      </c>
      <c r="E487" s="1" t="s">
        <v>466</v>
      </c>
      <c r="F487" s="1" t="str">
        <f>IFERROR(__xludf.DUMMYFUNCTION("GOOGLETRANSLATE(E487, ""zh-CN"", ""en"")"),"Baojing County")</f>
        <v>Baojing County</v>
      </c>
      <c r="G487" s="1">
        <v>4.33125E11</v>
      </c>
    </row>
    <row r="488">
      <c r="A488" s="1" t="s">
        <v>320</v>
      </c>
      <c r="B488" s="1" t="str">
        <f>IFERROR(__xludf.DUMMYFUNCTION("GOOGLETRANSLATE(A414, ""zh-CN"", ""en"")"),"Hunan Province")</f>
        <v>Hunan Province</v>
      </c>
      <c r="C488" s="1" t="s">
        <v>334</v>
      </c>
      <c r="D488" s="1" t="str">
        <f>IFERROR(__xludf.DUMMYFUNCTION("GOOGLETRANSLATE(C488, ""zh-CN"", ""en"")"),"Xiangxi Tujia Miao Autonomous Prefecture")</f>
        <v>Xiangxi Tujia Miao Autonomous Prefecture</v>
      </c>
      <c r="E488" s="1" t="s">
        <v>467</v>
      </c>
      <c r="F488" s="1" t="str">
        <f>IFERROR(__xludf.DUMMYFUNCTION("GOOGLETRANSLATE(E488, ""zh-CN"", ""en"")"),"Guzhang County")</f>
        <v>Guzhang County</v>
      </c>
      <c r="G488" s="1">
        <v>4.33126E11</v>
      </c>
    </row>
    <row r="489">
      <c r="A489" s="1" t="s">
        <v>320</v>
      </c>
      <c r="B489" s="1" t="str">
        <f>IFERROR(__xludf.DUMMYFUNCTION("GOOGLETRANSLATE(A415, ""zh-CN"", ""en"")"),"Hunan Province")</f>
        <v>Hunan Province</v>
      </c>
      <c r="C489" s="1" t="s">
        <v>334</v>
      </c>
      <c r="D489" s="1" t="str">
        <f>IFERROR(__xludf.DUMMYFUNCTION("GOOGLETRANSLATE(C489, ""zh-CN"", ""en"")"),"Xiangxi Tujia Miao Autonomous Prefecture")</f>
        <v>Xiangxi Tujia Miao Autonomous Prefecture</v>
      </c>
      <c r="E489" s="1" t="s">
        <v>468</v>
      </c>
      <c r="F489" s="1" t="str">
        <f>IFERROR(__xludf.DUMMYFUNCTION("GOOGLETRANSLATE(E489, ""zh-CN"", ""en"")"),"Yongshun County")</f>
        <v>Yongshun County</v>
      </c>
      <c r="G489" s="1">
        <v>4.33127E11</v>
      </c>
    </row>
    <row r="490">
      <c r="A490" s="1" t="s">
        <v>320</v>
      </c>
      <c r="B490" s="1" t="str">
        <f>IFERROR(__xludf.DUMMYFUNCTION("GOOGLETRANSLATE(A416, ""zh-CN"", ""en"")"),"Hunan Province")</f>
        <v>Hunan Province</v>
      </c>
      <c r="C490" s="1" t="s">
        <v>334</v>
      </c>
      <c r="D490" s="1" t="str">
        <f>IFERROR(__xludf.DUMMYFUNCTION("GOOGLETRANSLATE(C490, ""zh-CN"", ""en"")"),"Xiangxi Tujia Miao Autonomous Prefecture")</f>
        <v>Xiangxi Tujia Miao Autonomous Prefecture</v>
      </c>
      <c r="E490" s="1" t="s">
        <v>469</v>
      </c>
      <c r="F490" s="1" t="str">
        <f>IFERROR(__xludf.DUMMYFUNCTION("GOOGLETRANSLATE(E490, ""zh-CN"", ""en"")"),"Longshan County")</f>
        <v>Longshan County</v>
      </c>
      <c r="G490" s="1">
        <v>4.3313E11</v>
      </c>
    </row>
    <row r="491">
      <c r="A491" s="1" t="s">
        <v>470</v>
      </c>
      <c r="B491" s="1" t="str">
        <f>IFERROR(__xludf.DUMMYFUNCTION("GOOGLETRANSLATE(A417, ""zh-CN"", ""en"")"),"Hunan Province")</f>
        <v>Hunan Province</v>
      </c>
      <c r="C491" s="1" t="s">
        <v>8</v>
      </c>
      <c r="D491" s="1" t="str">
        <f>IFERROR(__xludf.DUMMYFUNCTION("GOOGLETRANSLATE(C491, ""zh-CN"", ""en"")"),"Na")</f>
        <v>Na</v>
      </c>
      <c r="E491" s="1" t="s">
        <v>8</v>
      </c>
      <c r="F491" s="1" t="str">
        <f>IFERROR(__xludf.DUMMYFUNCTION("GOOGLETRANSLATE(E491, ""zh-CN"", ""en"")"),"Na")</f>
        <v>Na</v>
      </c>
      <c r="G491" s="1">
        <v>31.0</v>
      </c>
    </row>
    <row r="492">
      <c r="A492" s="1" t="s">
        <v>470</v>
      </c>
      <c r="B492" s="1" t="str">
        <f>IFERROR(__xludf.DUMMYFUNCTION("GOOGLETRANSLATE(A418, ""zh-CN"", ""en"")"),"Hunan Province")</f>
        <v>Hunan Province</v>
      </c>
      <c r="C492" s="1" t="s">
        <v>24</v>
      </c>
      <c r="D492" s="1" t="str">
        <f>IFERROR(__xludf.DUMMYFUNCTION("GOOGLETRANSLATE(C492, ""zh-CN"", ""en"")"),"City area")</f>
        <v>City area</v>
      </c>
      <c r="E492" s="1" t="s">
        <v>8</v>
      </c>
      <c r="F492" s="1" t="str">
        <f>IFERROR(__xludf.DUMMYFUNCTION("GOOGLETRANSLATE(E492, ""zh-CN"", ""en"")"),"Na")</f>
        <v>Na</v>
      </c>
      <c r="G492" s="1">
        <v>3.101E11</v>
      </c>
    </row>
    <row r="493">
      <c r="A493" s="1" t="s">
        <v>470</v>
      </c>
      <c r="B493" s="1" t="str">
        <f>IFERROR(__xludf.DUMMYFUNCTION("GOOGLETRANSLATE(A419, ""zh-CN"", ""en"")"),"Hunan Province")</f>
        <v>Hunan Province</v>
      </c>
      <c r="C493" s="1" t="s">
        <v>24</v>
      </c>
      <c r="D493" s="1" t="str">
        <f>IFERROR(__xludf.DUMMYFUNCTION("GOOGLETRANSLATE(C493, ""zh-CN"", ""en"")"),"City area")</f>
        <v>City area</v>
      </c>
      <c r="E493" s="1" t="s">
        <v>471</v>
      </c>
      <c r="F493" s="1" t="str">
        <f>IFERROR(__xludf.DUMMYFUNCTION("GOOGLETRANSLATE(E493, ""zh-CN"", ""en"")"),"Huangpu District")</f>
        <v>Huangpu District</v>
      </c>
      <c r="G493" s="1">
        <v>3.10101E11</v>
      </c>
    </row>
    <row r="494">
      <c r="A494" s="1" t="s">
        <v>470</v>
      </c>
      <c r="B494" s="1" t="str">
        <f>IFERROR(__xludf.DUMMYFUNCTION("GOOGLETRANSLATE(A420, ""zh-CN"", ""en"")"),"Hunan Province")</f>
        <v>Hunan Province</v>
      </c>
      <c r="C494" s="1" t="s">
        <v>24</v>
      </c>
      <c r="D494" s="1" t="str">
        <f>IFERROR(__xludf.DUMMYFUNCTION("GOOGLETRANSLATE(C494, ""zh-CN"", ""en"")"),"City area")</f>
        <v>City area</v>
      </c>
      <c r="E494" s="1" t="s">
        <v>472</v>
      </c>
      <c r="F494" s="1" t="str">
        <f>IFERROR(__xludf.DUMMYFUNCTION("GOOGLETRANSLATE(E494, ""zh-CN"", ""en"")"),"Xuhui District")</f>
        <v>Xuhui District</v>
      </c>
      <c r="G494" s="1">
        <v>3.10104E11</v>
      </c>
    </row>
    <row r="495">
      <c r="A495" s="1" t="s">
        <v>470</v>
      </c>
      <c r="B495" s="1" t="str">
        <f>IFERROR(__xludf.DUMMYFUNCTION("GOOGLETRANSLATE(A421, ""zh-CN"", ""en"")"),"Hunan Province")</f>
        <v>Hunan Province</v>
      </c>
      <c r="C495" s="1" t="s">
        <v>24</v>
      </c>
      <c r="D495" s="1" t="str">
        <f>IFERROR(__xludf.DUMMYFUNCTION("GOOGLETRANSLATE(C495, ""zh-CN"", ""en"")"),"City area")</f>
        <v>City area</v>
      </c>
      <c r="E495" s="1" t="s">
        <v>473</v>
      </c>
      <c r="F495" s="1" t="str">
        <f>IFERROR(__xludf.DUMMYFUNCTION("GOOGLETRANSLATE(E495, ""zh-CN"", ""en"")"),"Changning District")</f>
        <v>Changning District</v>
      </c>
      <c r="G495" s="1">
        <v>3.10105E11</v>
      </c>
    </row>
    <row r="496">
      <c r="A496" s="1" t="s">
        <v>470</v>
      </c>
      <c r="B496" s="1" t="str">
        <f>IFERROR(__xludf.DUMMYFUNCTION("GOOGLETRANSLATE(A422, ""zh-CN"", ""en"")"),"Hunan Province")</f>
        <v>Hunan Province</v>
      </c>
      <c r="C496" s="1" t="s">
        <v>24</v>
      </c>
      <c r="D496" s="1" t="str">
        <f>IFERROR(__xludf.DUMMYFUNCTION("GOOGLETRANSLATE(C496, ""zh-CN"", ""en"")"),"City area")</f>
        <v>City area</v>
      </c>
      <c r="E496" s="1" t="s">
        <v>474</v>
      </c>
      <c r="F496" s="1" t="str">
        <f>IFERROR(__xludf.DUMMYFUNCTION("GOOGLETRANSLATE(E496, ""zh-CN"", ""en"")"),"Jing'an District")</f>
        <v>Jing'an District</v>
      </c>
      <c r="G496" s="1">
        <v>3.10106E11</v>
      </c>
    </row>
    <row r="497">
      <c r="A497" s="1" t="s">
        <v>470</v>
      </c>
      <c r="B497" s="1" t="str">
        <f>IFERROR(__xludf.DUMMYFUNCTION("GOOGLETRANSLATE(A423, ""zh-CN"", ""en"")"),"Hunan Province")</f>
        <v>Hunan Province</v>
      </c>
      <c r="C497" s="1" t="s">
        <v>24</v>
      </c>
      <c r="D497" s="1" t="str">
        <f>IFERROR(__xludf.DUMMYFUNCTION("GOOGLETRANSLATE(C497, ""zh-CN"", ""en"")"),"City area")</f>
        <v>City area</v>
      </c>
      <c r="E497" s="1" t="s">
        <v>475</v>
      </c>
      <c r="F497" s="1" t="str">
        <f>IFERROR(__xludf.DUMMYFUNCTION("GOOGLETRANSLATE(E497, ""zh-CN"", ""en"")"),"Putuo District")</f>
        <v>Putuo District</v>
      </c>
      <c r="G497" s="1">
        <v>3.10107E11</v>
      </c>
    </row>
    <row r="498">
      <c r="A498" s="1" t="s">
        <v>470</v>
      </c>
      <c r="B498" s="1" t="str">
        <f>IFERROR(__xludf.DUMMYFUNCTION("GOOGLETRANSLATE(A424, ""zh-CN"", ""en"")"),"Hunan Province")</f>
        <v>Hunan Province</v>
      </c>
      <c r="C498" s="1" t="s">
        <v>24</v>
      </c>
      <c r="D498" s="1" t="str">
        <f>IFERROR(__xludf.DUMMYFUNCTION("GOOGLETRANSLATE(C498, ""zh-CN"", ""en"")"),"City area")</f>
        <v>City area</v>
      </c>
      <c r="E498" s="1" t="s">
        <v>476</v>
      </c>
      <c r="F498" s="1" t="str">
        <f>IFERROR(__xludf.DUMMYFUNCTION("GOOGLETRANSLATE(E498, ""zh-CN"", ""en"")"),"Hongkou District")</f>
        <v>Hongkou District</v>
      </c>
      <c r="G498" s="1">
        <v>3.10109E11</v>
      </c>
    </row>
    <row r="499">
      <c r="A499" s="1" t="s">
        <v>470</v>
      </c>
      <c r="B499" s="1" t="str">
        <f>IFERROR(__xludf.DUMMYFUNCTION("GOOGLETRANSLATE(A425, ""zh-CN"", ""en"")"),"Hunan Province")</f>
        <v>Hunan Province</v>
      </c>
      <c r="C499" s="1" t="s">
        <v>24</v>
      </c>
      <c r="D499" s="1" t="str">
        <f>IFERROR(__xludf.DUMMYFUNCTION("GOOGLETRANSLATE(C499, ""zh-CN"", ""en"")"),"City area")</f>
        <v>City area</v>
      </c>
      <c r="E499" s="1" t="s">
        <v>477</v>
      </c>
      <c r="F499" s="1" t="str">
        <f>IFERROR(__xludf.DUMMYFUNCTION("GOOGLETRANSLATE(E499, ""zh-CN"", ""en"")"),"Yangpu District")</f>
        <v>Yangpu District</v>
      </c>
      <c r="G499" s="1">
        <v>3.1011E11</v>
      </c>
    </row>
    <row r="500">
      <c r="A500" s="1" t="s">
        <v>470</v>
      </c>
      <c r="B500" s="1" t="str">
        <f>IFERROR(__xludf.DUMMYFUNCTION("GOOGLETRANSLATE(A426, ""zh-CN"", ""en"")"),"Hunan Province")</f>
        <v>Hunan Province</v>
      </c>
      <c r="C500" s="1" t="s">
        <v>24</v>
      </c>
      <c r="D500" s="1" t="str">
        <f>IFERROR(__xludf.DUMMYFUNCTION("GOOGLETRANSLATE(C500, ""zh-CN"", ""en"")"),"City area")</f>
        <v>City area</v>
      </c>
      <c r="E500" s="1" t="s">
        <v>478</v>
      </c>
      <c r="F500" s="1" t="str">
        <f>IFERROR(__xludf.DUMMYFUNCTION("GOOGLETRANSLATE(E500, ""zh-CN"", ""en"")"),"Minhang District")</f>
        <v>Minhang District</v>
      </c>
      <c r="G500" s="1">
        <v>3.10112E11</v>
      </c>
    </row>
    <row r="501">
      <c r="A501" s="1" t="s">
        <v>470</v>
      </c>
      <c r="B501" s="1" t="str">
        <f>IFERROR(__xludf.DUMMYFUNCTION("GOOGLETRANSLATE(A427, ""zh-CN"", ""en"")"),"Hunan Province")</f>
        <v>Hunan Province</v>
      </c>
      <c r="C501" s="1" t="s">
        <v>24</v>
      </c>
      <c r="D501" s="1" t="str">
        <f>IFERROR(__xludf.DUMMYFUNCTION("GOOGLETRANSLATE(C501, ""zh-CN"", ""en"")"),"City area")</f>
        <v>City area</v>
      </c>
      <c r="E501" s="1" t="s">
        <v>479</v>
      </c>
      <c r="F501" s="1" t="str">
        <f>IFERROR(__xludf.DUMMYFUNCTION("GOOGLETRANSLATE(E501, ""zh-CN"", ""en"")"),"Baoshan District")</f>
        <v>Baoshan District</v>
      </c>
      <c r="G501" s="1">
        <v>3.10113E11</v>
      </c>
    </row>
    <row r="502">
      <c r="A502" s="1" t="s">
        <v>470</v>
      </c>
      <c r="B502" s="1" t="str">
        <f>IFERROR(__xludf.DUMMYFUNCTION("GOOGLETRANSLATE(A428, ""zh-CN"", ""en"")"),"Hunan Province")</f>
        <v>Hunan Province</v>
      </c>
      <c r="C502" s="1" t="s">
        <v>24</v>
      </c>
      <c r="D502" s="1" t="str">
        <f>IFERROR(__xludf.DUMMYFUNCTION("GOOGLETRANSLATE(C502, ""zh-CN"", ""en"")"),"City area")</f>
        <v>City area</v>
      </c>
      <c r="E502" s="1" t="s">
        <v>480</v>
      </c>
      <c r="F502" s="1" t="str">
        <f>IFERROR(__xludf.DUMMYFUNCTION("GOOGLETRANSLATE(E502, ""zh-CN"", ""en"")"),"Jiading District")</f>
        <v>Jiading District</v>
      </c>
      <c r="G502" s="1">
        <v>3.10114E11</v>
      </c>
    </row>
    <row r="503">
      <c r="A503" s="1" t="s">
        <v>470</v>
      </c>
      <c r="B503" s="1" t="str">
        <f>IFERROR(__xludf.DUMMYFUNCTION("GOOGLETRANSLATE(A429, ""zh-CN"", ""en"")"),"Hunan Province")</f>
        <v>Hunan Province</v>
      </c>
      <c r="C503" s="1" t="s">
        <v>24</v>
      </c>
      <c r="D503" s="1" t="str">
        <f>IFERROR(__xludf.DUMMYFUNCTION("GOOGLETRANSLATE(C503, ""zh-CN"", ""en"")"),"City area")</f>
        <v>City area</v>
      </c>
      <c r="E503" s="1" t="s">
        <v>481</v>
      </c>
      <c r="F503" s="1" t="str">
        <f>IFERROR(__xludf.DUMMYFUNCTION("GOOGLETRANSLATE(E503, ""zh-CN"", ""en"")"),"Pudong New District")</f>
        <v>Pudong New District</v>
      </c>
      <c r="G503" s="1">
        <v>3.10115E11</v>
      </c>
    </row>
    <row r="504">
      <c r="A504" s="1" t="s">
        <v>470</v>
      </c>
      <c r="B504" s="1" t="str">
        <f>IFERROR(__xludf.DUMMYFUNCTION("GOOGLETRANSLATE(A430, ""zh-CN"", ""en"")"),"Hunan Province")</f>
        <v>Hunan Province</v>
      </c>
      <c r="C504" s="1" t="s">
        <v>24</v>
      </c>
      <c r="D504" s="1" t="str">
        <f>IFERROR(__xludf.DUMMYFUNCTION("GOOGLETRANSLATE(C504, ""zh-CN"", ""en"")"),"City area")</f>
        <v>City area</v>
      </c>
      <c r="E504" s="1" t="s">
        <v>482</v>
      </c>
      <c r="F504" s="1" t="str">
        <f>IFERROR(__xludf.DUMMYFUNCTION("GOOGLETRANSLATE(E504, ""zh-CN"", ""en"")"),"Jinshan District")</f>
        <v>Jinshan District</v>
      </c>
      <c r="G504" s="1">
        <v>3.10116E11</v>
      </c>
    </row>
    <row r="505">
      <c r="A505" s="1" t="s">
        <v>470</v>
      </c>
      <c r="B505" s="1" t="str">
        <f>IFERROR(__xludf.DUMMYFUNCTION("GOOGLETRANSLATE(A431, ""zh-CN"", ""en"")"),"Hunan Province")</f>
        <v>Hunan Province</v>
      </c>
      <c r="C505" s="1" t="s">
        <v>24</v>
      </c>
      <c r="D505" s="1" t="str">
        <f>IFERROR(__xludf.DUMMYFUNCTION("GOOGLETRANSLATE(C505, ""zh-CN"", ""en"")"),"City area")</f>
        <v>City area</v>
      </c>
      <c r="E505" s="1" t="s">
        <v>483</v>
      </c>
      <c r="F505" s="1" t="str">
        <f>IFERROR(__xludf.DUMMYFUNCTION("GOOGLETRANSLATE(E505, ""zh-CN"", ""en"")"),"Songjiang District")</f>
        <v>Songjiang District</v>
      </c>
      <c r="G505" s="1">
        <v>3.10117E11</v>
      </c>
    </row>
    <row r="506">
      <c r="A506" s="1" t="s">
        <v>470</v>
      </c>
      <c r="B506" s="1" t="str">
        <f>IFERROR(__xludf.DUMMYFUNCTION("GOOGLETRANSLATE(A432, ""zh-CN"", ""en"")"),"Hunan Province")</f>
        <v>Hunan Province</v>
      </c>
      <c r="C506" s="1" t="s">
        <v>24</v>
      </c>
      <c r="D506" s="1" t="str">
        <f>IFERROR(__xludf.DUMMYFUNCTION("GOOGLETRANSLATE(C506, ""zh-CN"", ""en"")"),"City area")</f>
        <v>City area</v>
      </c>
      <c r="E506" s="1" t="s">
        <v>484</v>
      </c>
      <c r="F506" s="1" t="str">
        <f>IFERROR(__xludf.DUMMYFUNCTION("GOOGLETRANSLATE(E506, ""zh-CN"", ""en"")"),"Qingpu District")</f>
        <v>Qingpu District</v>
      </c>
      <c r="G506" s="1">
        <v>3.10118E11</v>
      </c>
    </row>
    <row r="507">
      <c r="A507" s="1" t="s">
        <v>470</v>
      </c>
      <c r="B507" s="1" t="str">
        <f>IFERROR(__xludf.DUMMYFUNCTION("GOOGLETRANSLATE(A433, ""zh-CN"", ""en"")"),"Hunan Province")</f>
        <v>Hunan Province</v>
      </c>
      <c r="C507" s="1" t="s">
        <v>24</v>
      </c>
      <c r="D507" s="1" t="str">
        <f>IFERROR(__xludf.DUMMYFUNCTION("GOOGLETRANSLATE(C507, ""zh-CN"", ""en"")"),"City area")</f>
        <v>City area</v>
      </c>
      <c r="E507" s="1" t="s">
        <v>485</v>
      </c>
      <c r="F507" s="1" t="str">
        <f>IFERROR(__xludf.DUMMYFUNCTION("GOOGLETRANSLATE(E507, ""zh-CN"", ""en"")"),"Fengxian District")</f>
        <v>Fengxian District</v>
      </c>
      <c r="G507" s="1">
        <v>3.1012E11</v>
      </c>
    </row>
    <row r="508">
      <c r="A508" s="1" t="s">
        <v>470</v>
      </c>
      <c r="B508" s="1" t="str">
        <f>IFERROR(__xludf.DUMMYFUNCTION("GOOGLETRANSLATE(A434, ""zh-CN"", ""en"")"),"Hunan Province")</f>
        <v>Hunan Province</v>
      </c>
      <c r="C508" s="1" t="s">
        <v>24</v>
      </c>
      <c r="D508" s="1" t="str">
        <f>IFERROR(__xludf.DUMMYFUNCTION("GOOGLETRANSLATE(C508, ""zh-CN"", ""en"")"),"City area")</f>
        <v>City area</v>
      </c>
      <c r="E508" s="1" t="s">
        <v>486</v>
      </c>
      <c r="F508" s="1" t="str">
        <f>IFERROR(__xludf.DUMMYFUNCTION("GOOGLETRANSLATE(E508, ""zh-CN"", ""en"")"),"Chongming District")</f>
        <v>Chongming District</v>
      </c>
      <c r="G508" s="1">
        <v>3.10151E11</v>
      </c>
    </row>
    <row r="509">
      <c r="A509" s="1" t="s">
        <v>487</v>
      </c>
      <c r="B509" s="1" t="str">
        <f>IFERROR(__xludf.DUMMYFUNCTION("GOOGLETRANSLATE(A435, ""zh-CN"", ""en"")"),"Hunan Province")</f>
        <v>Hunan Province</v>
      </c>
      <c r="C509" s="1" t="s">
        <v>8</v>
      </c>
      <c r="D509" s="1" t="str">
        <f>IFERROR(__xludf.DUMMYFUNCTION("GOOGLETRANSLATE(C509, ""zh-CN"", ""en"")"),"Na")</f>
        <v>Na</v>
      </c>
      <c r="E509" s="1" t="s">
        <v>8</v>
      </c>
      <c r="F509" s="1" t="str">
        <f>IFERROR(__xludf.DUMMYFUNCTION("GOOGLETRANSLATE(E509, ""zh-CN"", ""en"")"),"Na")</f>
        <v>Na</v>
      </c>
      <c r="G509" s="1">
        <v>33.0</v>
      </c>
    </row>
    <row r="510">
      <c r="A510" s="1" t="s">
        <v>487</v>
      </c>
      <c r="B510" s="1" t="str">
        <f>IFERROR(__xludf.DUMMYFUNCTION("GOOGLETRANSLATE(A436, ""zh-CN"", ""en"")"),"Hunan Province")</f>
        <v>Hunan Province</v>
      </c>
      <c r="C510" s="1" t="s">
        <v>488</v>
      </c>
      <c r="D510" s="1" t="str">
        <f>IFERROR(__xludf.DUMMYFUNCTION("GOOGLETRANSLATE(C510, ""zh-CN"", ""en"")"),"Hangzhou")</f>
        <v>Hangzhou</v>
      </c>
      <c r="E510" s="1" t="s">
        <v>8</v>
      </c>
      <c r="F510" s="1" t="str">
        <f>IFERROR(__xludf.DUMMYFUNCTION("GOOGLETRANSLATE(E510, ""zh-CN"", ""en"")"),"Na")</f>
        <v>Na</v>
      </c>
      <c r="G510" s="1">
        <v>3.301E11</v>
      </c>
    </row>
    <row r="511">
      <c r="A511" s="1" t="s">
        <v>487</v>
      </c>
      <c r="B511" s="1" t="str">
        <f>IFERROR(__xludf.DUMMYFUNCTION("GOOGLETRANSLATE(A437, ""zh-CN"", ""en"")"),"Hunan Province")</f>
        <v>Hunan Province</v>
      </c>
      <c r="C511" s="1" t="s">
        <v>489</v>
      </c>
      <c r="D511" s="1" t="str">
        <f>IFERROR(__xludf.DUMMYFUNCTION("GOOGLETRANSLATE(C511, ""zh-CN"", ""en"")"),"Ningbo City")</f>
        <v>Ningbo City</v>
      </c>
      <c r="E511" s="1" t="s">
        <v>8</v>
      </c>
      <c r="F511" s="1" t="str">
        <f>IFERROR(__xludf.DUMMYFUNCTION("GOOGLETRANSLATE(E511, ""zh-CN"", ""en"")"),"Na")</f>
        <v>Na</v>
      </c>
      <c r="G511" s="1">
        <v>3.302E11</v>
      </c>
    </row>
    <row r="512">
      <c r="A512" s="1" t="s">
        <v>487</v>
      </c>
      <c r="B512" s="1" t="str">
        <f>IFERROR(__xludf.DUMMYFUNCTION("GOOGLETRANSLATE(A438, ""zh-CN"", ""en"")"),"Hunan Province")</f>
        <v>Hunan Province</v>
      </c>
      <c r="C512" s="1" t="s">
        <v>490</v>
      </c>
      <c r="D512" s="1" t="str">
        <f>IFERROR(__xludf.DUMMYFUNCTION("GOOGLETRANSLATE(C512, ""zh-CN"", ""en"")"),"Wenzhou city")</f>
        <v>Wenzhou city</v>
      </c>
      <c r="E512" s="1" t="s">
        <v>8</v>
      </c>
      <c r="F512" s="1" t="str">
        <f>IFERROR(__xludf.DUMMYFUNCTION("GOOGLETRANSLATE(E512, ""zh-CN"", ""en"")"),"Na")</f>
        <v>Na</v>
      </c>
      <c r="G512" s="1">
        <v>3.303E11</v>
      </c>
    </row>
    <row r="513">
      <c r="A513" s="1" t="s">
        <v>487</v>
      </c>
      <c r="B513" s="1" t="str">
        <f>IFERROR(__xludf.DUMMYFUNCTION("GOOGLETRANSLATE(A439, ""zh-CN"", ""en"")"),"Hunan Province")</f>
        <v>Hunan Province</v>
      </c>
      <c r="C513" s="1" t="s">
        <v>491</v>
      </c>
      <c r="D513" s="1" t="str">
        <f>IFERROR(__xludf.DUMMYFUNCTION("GOOGLETRANSLATE(C513, ""zh-CN"", ""en"")"),"Jiaxing City")</f>
        <v>Jiaxing City</v>
      </c>
      <c r="E513" s="1" t="s">
        <v>8</v>
      </c>
      <c r="F513" s="1" t="str">
        <f>IFERROR(__xludf.DUMMYFUNCTION("GOOGLETRANSLATE(E513, ""zh-CN"", ""en"")"),"Na")</f>
        <v>Na</v>
      </c>
      <c r="G513" s="1">
        <v>3.304E11</v>
      </c>
    </row>
    <row r="514">
      <c r="A514" s="1" t="s">
        <v>487</v>
      </c>
      <c r="B514" s="1" t="str">
        <f>IFERROR(__xludf.DUMMYFUNCTION("GOOGLETRANSLATE(A440, ""zh-CN"", ""en"")"),"Hunan Province")</f>
        <v>Hunan Province</v>
      </c>
      <c r="C514" s="1" t="s">
        <v>492</v>
      </c>
      <c r="D514" s="1" t="str">
        <f>IFERROR(__xludf.DUMMYFUNCTION("GOOGLETRANSLATE(C514, ""zh-CN"", ""en"")"),"Huzhou")</f>
        <v>Huzhou</v>
      </c>
      <c r="E514" s="1" t="s">
        <v>8</v>
      </c>
      <c r="F514" s="1" t="str">
        <f>IFERROR(__xludf.DUMMYFUNCTION("GOOGLETRANSLATE(E514, ""zh-CN"", ""en"")"),"Na")</f>
        <v>Na</v>
      </c>
      <c r="G514" s="1">
        <v>3.305E11</v>
      </c>
    </row>
    <row r="515">
      <c r="A515" s="1" t="s">
        <v>487</v>
      </c>
      <c r="B515" s="1" t="str">
        <f>IFERROR(__xludf.DUMMYFUNCTION("GOOGLETRANSLATE(A441, ""zh-CN"", ""en"")"),"Hunan Province")</f>
        <v>Hunan Province</v>
      </c>
      <c r="C515" s="1" t="s">
        <v>493</v>
      </c>
      <c r="D515" s="1" t="str">
        <f>IFERROR(__xludf.DUMMYFUNCTION("GOOGLETRANSLATE(C515, ""zh-CN"", ""en"")"),"Shaoxing City")</f>
        <v>Shaoxing City</v>
      </c>
      <c r="E515" s="1" t="s">
        <v>8</v>
      </c>
      <c r="F515" s="1" t="str">
        <f>IFERROR(__xludf.DUMMYFUNCTION("GOOGLETRANSLATE(E515, ""zh-CN"", ""en"")"),"Na")</f>
        <v>Na</v>
      </c>
      <c r="G515" s="1">
        <v>3.306E11</v>
      </c>
    </row>
    <row r="516">
      <c r="A516" s="1" t="s">
        <v>487</v>
      </c>
      <c r="B516" s="1" t="str">
        <f>IFERROR(__xludf.DUMMYFUNCTION("GOOGLETRANSLATE(A442, ""zh-CN"", ""en"")"),"Hunan Province")</f>
        <v>Hunan Province</v>
      </c>
      <c r="C516" s="1" t="s">
        <v>494</v>
      </c>
      <c r="D516" s="1" t="str">
        <f>IFERROR(__xludf.DUMMYFUNCTION("GOOGLETRANSLATE(C516, ""zh-CN"", ""en"")"),"Jinhua City")</f>
        <v>Jinhua City</v>
      </c>
      <c r="E516" s="1" t="s">
        <v>8</v>
      </c>
      <c r="F516" s="1" t="str">
        <f>IFERROR(__xludf.DUMMYFUNCTION("GOOGLETRANSLATE(E516, ""zh-CN"", ""en"")"),"Na")</f>
        <v>Na</v>
      </c>
      <c r="G516" s="1">
        <v>3.307E11</v>
      </c>
    </row>
    <row r="517">
      <c r="A517" s="1" t="s">
        <v>487</v>
      </c>
      <c r="B517" s="1" t="str">
        <f>IFERROR(__xludf.DUMMYFUNCTION("GOOGLETRANSLATE(A443, ""zh-CN"", ""en"")"),"Hunan Province")</f>
        <v>Hunan Province</v>
      </c>
      <c r="C517" s="1" t="s">
        <v>495</v>
      </c>
      <c r="D517" s="1" t="str">
        <f>IFERROR(__xludf.DUMMYFUNCTION("GOOGLETRANSLATE(C517, ""zh-CN"", ""en"")"),"Luzhou")</f>
        <v>Luzhou</v>
      </c>
      <c r="E517" s="1" t="s">
        <v>8</v>
      </c>
      <c r="F517" s="1" t="str">
        <f>IFERROR(__xludf.DUMMYFUNCTION("GOOGLETRANSLATE(E517, ""zh-CN"", ""en"")"),"Na")</f>
        <v>Na</v>
      </c>
      <c r="G517" s="1">
        <v>3.308E11</v>
      </c>
    </row>
    <row r="518">
      <c r="A518" s="1" t="s">
        <v>487</v>
      </c>
      <c r="B518" s="1" t="str">
        <f>IFERROR(__xludf.DUMMYFUNCTION("GOOGLETRANSLATE(A444, ""zh-CN"", ""en"")"),"Hunan Province")</f>
        <v>Hunan Province</v>
      </c>
      <c r="C518" s="1" t="s">
        <v>496</v>
      </c>
      <c r="D518" s="1" t="str">
        <f>IFERROR(__xludf.DUMMYFUNCTION("GOOGLETRANSLATE(C518, ""zh-CN"", ""en"")"),"Zhoushan City")</f>
        <v>Zhoushan City</v>
      </c>
      <c r="E518" s="1" t="s">
        <v>8</v>
      </c>
      <c r="F518" s="1" t="str">
        <f>IFERROR(__xludf.DUMMYFUNCTION("GOOGLETRANSLATE(E518, ""zh-CN"", ""en"")"),"Na")</f>
        <v>Na</v>
      </c>
      <c r="G518" s="1">
        <v>3.309E11</v>
      </c>
    </row>
    <row r="519">
      <c r="A519" s="1" t="s">
        <v>487</v>
      </c>
      <c r="B519" s="1" t="str">
        <f>IFERROR(__xludf.DUMMYFUNCTION("GOOGLETRANSLATE(A445, ""zh-CN"", ""en"")"),"Hunan Province")</f>
        <v>Hunan Province</v>
      </c>
      <c r="C519" s="1" t="s">
        <v>497</v>
      </c>
      <c r="D519" s="1" t="str">
        <f>IFERROR(__xludf.DUMMYFUNCTION("GOOGLETRANSLATE(C519, ""zh-CN"", ""en"")"),"Taizhou")</f>
        <v>Taizhou</v>
      </c>
      <c r="E519" s="1" t="s">
        <v>8</v>
      </c>
      <c r="F519" s="1" t="str">
        <f>IFERROR(__xludf.DUMMYFUNCTION("GOOGLETRANSLATE(E519, ""zh-CN"", ""en"")"),"Na")</f>
        <v>Na</v>
      </c>
      <c r="G519" s="1">
        <v>3.31E11</v>
      </c>
    </row>
    <row r="520">
      <c r="A520" s="1" t="s">
        <v>487</v>
      </c>
      <c r="B520" s="1" t="str">
        <f>IFERROR(__xludf.DUMMYFUNCTION("GOOGLETRANSLATE(A446, ""zh-CN"", ""en"")"),"Hunan Province")</f>
        <v>Hunan Province</v>
      </c>
      <c r="C520" s="1" t="s">
        <v>498</v>
      </c>
      <c r="D520" s="1" t="str">
        <f>IFERROR(__xludf.DUMMYFUNCTION("GOOGLETRANSLATE(C520, ""zh-CN"", ""en"")"),"Lishui City")</f>
        <v>Lishui City</v>
      </c>
      <c r="E520" s="1" t="s">
        <v>8</v>
      </c>
      <c r="F520" s="1" t="str">
        <f>IFERROR(__xludf.DUMMYFUNCTION("GOOGLETRANSLATE(E520, ""zh-CN"", ""en"")"),"Na")</f>
        <v>Na</v>
      </c>
      <c r="G520" s="1">
        <v>3.311E11</v>
      </c>
    </row>
    <row r="521">
      <c r="A521" s="1" t="s">
        <v>487</v>
      </c>
      <c r="B521" s="1" t="str">
        <f>IFERROR(__xludf.DUMMYFUNCTION("GOOGLETRANSLATE(A447, ""zh-CN"", ""en"")"),"Hunan Province")</f>
        <v>Hunan Province</v>
      </c>
      <c r="C521" s="1" t="s">
        <v>488</v>
      </c>
      <c r="D521" s="1" t="str">
        <f>IFERROR(__xludf.DUMMYFUNCTION("GOOGLETRANSLATE(C521, ""zh-CN"", ""en"")"),"Hangzhou")</f>
        <v>Hangzhou</v>
      </c>
      <c r="E521" s="1" t="s">
        <v>24</v>
      </c>
      <c r="F521" s="1" t="str">
        <f>IFERROR(__xludf.DUMMYFUNCTION("GOOGLETRANSLATE(E521, ""zh-CN"", ""en"")"),"City area")</f>
        <v>City area</v>
      </c>
      <c r="G521" s="1">
        <v>3.30101E11</v>
      </c>
    </row>
    <row r="522">
      <c r="A522" s="1" t="s">
        <v>487</v>
      </c>
      <c r="B522" s="1" t="str">
        <f>IFERROR(__xludf.DUMMYFUNCTION("GOOGLETRANSLATE(A448, ""zh-CN"", ""en"")"),"Hunan Province")</f>
        <v>Hunan Province</v>
      </c>
      <c r="C522" s="1" t="s">
        <v>488</v>
      </c>
      <c r="D522" s="1" t="str">
        <f>IFERROR(__xludf.DUMMYFUNCTION("GOOGLETRANSLATE(C522, ""zh-CN"", ""en"")"),"Hangzhou")</f>
        <v>Hangzhou</v>
      </c>
      <c r="E522" s="1" t="s">
        <v>499</v>
      </c>
      <c r="F522" s="1" t="str">
        <f>IFERROR(__xludf.DUMMYFUNCTION("GOOGLETRANSLATE(E522, ""zh-CN"", ""en"")"),"Uptown")</f>
        <v>Uptown</v>
      </c>
      <c r="G522" s="1">
        <v>3.30102E11</v>
      </c>
    </row>
    <row r="523">
      <c r="A523" s="1" t="s">
        <v>487</v>
      </c>
      <c r="B523" s="1" t="str">
        <f>IFERROR(__xludf.DUMMYFUNCTION("GOOGLETRANSLATE(A449, ""zh-CN"", ""en"")"),"Hunan Province")</f>
        <v>Hunan Province</v>
      </c>
      <c r="C523" s="1" t="s">
        <v>488</v>
      </c>
      <c r="D523" s="1" t="str">
        <f>IFERROR(__xludf.DUMMYFUNCTION("GOOGLETRANSLATE(C523, ""zh-CN"", ""en"")"),"Hangzhou")</f>
        <v>Hangzhou</v>
      </c>
      <c r="E523" s="1" t="s">
        <v>500</v>
      </c>
      <c r="F523" s="1" t="str">
        <f>IFERROR(__xludf.DUMMYFUNCTION("GOOGLETRANSLATE(E523, ""zh-CN"", ""en"")"),"Gongshu District")</f>
        <v>Gongshu District</v>
      </c>
      <c r="G523" s="1">
        <v>3.30105E11</v>
      </c>
    </row>
    <row r="524">
      <c r="A524" s="1" t="s">
        <v>487</v>
      </c>
      <c r="B524" s="1" t="str">
        <f>IFERROR(__xludf.DUMMYFUNCTION("GOOGLETRANSLATE(A450, ""zh-CN"", ""en"")"),"Hunan Province")</f>
        <v>Hunan Province</v>
      </c>
      <c r="C524" s="1" t="s">
        <v>488</v>
      </c>
      <c r="D524" s="1" t="str">
        <f>IFERROR(__xludf.DUMMYFUNCTION("GOOGLETRANSLATE(C524, ""zh-CN"", ""en"")"),"Hangzhou")</f>
        <v>Hangzhou</v>
      </c>
      <c r="E524" s="1" t="s">
        <v>501</v>
      </c>
      <c r="F524" s="1" t="str">
        <f>IFERROR(__xludf.DUMMYFUNCTION("GOOGLETRANSLATE(E524, ""zh-CN"", ""en"")"),"West Lake District")</f>
        <v>West Lake District</v>
      </c>
      <c r="G524" s="1">
        <v>3.30106E11</v>
      </c>
    </row>
    <row r="525">
      <c r="A525" s="1" t="s">
        <v>487</v>
      </c>
      <c r="B525" s="1" t="str">
        <f>IFERROR(__xludf.DUMMYFUNCTION("GOOGLETRANSLATE(A451, ""zh-CN"", ""en"")"),"Hunan Province")</f>
        <v>Hunan Province</v>
      </c>
      <c r="C525" s="1" t="s">
        <v>488</v>
      </c>
      <c r="D525" s="1" t="str">
        <f>IFERROR(__xludf.DUMMYFUNCTION("GOOGLETRANSLATE(C525, ""zh-CN"", ""en"")"),"Hangzhou")</f>
        <v>Hangzhou</v>
      </c>
      <c r="E525" s="1" t="s">
        <v>502</v>
      </c>
      <c r="F525" s="1" t="str">
        <f>IFERROR(__xludf.DUMMYFUNCTION("GOOGLETRANSLATE(E525, ""zh-CN"", ""en"")"),"Binjiang District")</f>
        <v>Binjiang District</v>
      </c>
      <c r="G525" s="1">
        <v>3.30108E11</v>
      </c>
    </row>
    <row r="526">
      <c r="A526" s="1" t="s">
        <v>487</v>
      </c>
      <c r="B526" s="1" t="str">
        <f>IFERROR(__xludf.DUMMYFUNCTION("GOOGLETRANSLATE(A452, ""zh-CN"", ""en"")"),"Hunan Province")</f>
        <v>Hunan Province</v>
      </c>
      <c r="C526" s="1" t="s">
        <v>488</v>
      </c>
      <c r="D526" s="1" t="str">
        <f>IFERROR(__xludf.DUMMYFUNCTION("GOOGLETRANSLATE(C526, ""zh-CN"", ""en"")"),"Hangzhou")</f>
        <v>Hangzhou</v>
      </c>
      <c r="E526" s="1" t="s">
        <v>503</v>
      </c>
      <c r="F526" s="1" t="str">
        <f>IFERROR(__xludf.DUMMYFUNCTION("GOOGLETRANSLATE(E526, ""zh-CN"", ""en"")"),"Xiaoshan Strict")</f>
        <v>Xiaoshan Strict</v>
      </c>
      <c r="G526" s="1">
        <v>3.30109E11</v>
      </c>
    </row>
    <row r="527">
      <c r="A527" s="1" t="s">
        <v>487</v>
      </c>
      <c r="B527" s="1" t="str">
        <f>IFERROR(__xludf.DUMMYFUNCTION("GOOGLETRANSLATE(A453, ""zh-CN"", ""en"")"),"Hunan Province")</f>
        <v>Hunan Province</v>
      </c>
      <c r="C527" s="1" t="s">
        <v>488</v>
      </c>
      <c r="D527" s="1" t="str">
        <f>IFERROR(__xludf.DUMMYFUNCTION("GOOGLETRANSLATE(C527, ""zh-CN"", ""en"")"),"Hangzhou")</f>
        <v>Hangzhou</v>
      </c>
      <c r="E527" s="1" t="s">
        <v>504</v>
      </c>
      <c r="F527" s="1" t="str">
        <f>IFERROR(__xludf.DUMMYFUNCTION("GOOGLETRANSLATE(E527, ""zh-CN"", ""en"")"),"Yuhang District")</f>
        <v>Yuhang District</v>
      </c>
      <c r="G527" s="1">
        <v>3.3011E11</v>
      </c>
    </row>
    <row r="528">
      <c r="A528" s="1" t="s">
        <v>487</v>
      </c>
      <c r="B528" s="1" t="str">
        <f>IFERROR(__xludf.DUMMYFUNCTION("GOOGLETRANSLATE(A454, ""zh-CN"", ""en"")"),"Hunan Province")</f>
        <v>Hunan Province</v>
      </c>
      <c r="C528" s="1" t="s">
        <v>488</v>
      </c>
      <c r="D528" s="1" t="str">
        <f>IFERROR(__xludf.DUMMYFUNCTION("GOOGLETRANSLATE(C528, ""zh-CN"", ""en"")"),"Hangzhou")</f>
        <v>Hangzhou</v>
      </c>
      <c r="E528" s="1" t="s">
        <v>505</v>
      </c>
      <c r="F528" s="1" t="str">
        <f>IFERROR(__xludf.DUMMYFUNCTION("GOOGLETRANSLATE(E528, ""zh-CN"", ""en"")"),"Fuyang District")</f>
        <v>Fuyang District</v>
      </c>
      <c r="G528" s="1">
        <v>3.30111E11</v>
      </c>
    </row>
    <row r="529">
      <c r="A529" s="1" t="s">
        <v>487</v>
      </c>
      <c r="B529" s="1" t="str">
        <f>IFERROR(__xludf.DUMMYFUNCTION("GOOGLETRANSLATE(A455, ""zh-CN"", ""en"")"),"Hunan Province")</f>
        <v>Hunan Province</v>
      </c>
      <c r="C529" s="1" t="s">
        <v>488</v>
      </c>
      <c r="D529" s="1" t="str">
        <f>IFERROR(__xludf.DUMMYFUNCTION("GOOGLETRANSLATE(C529, ""zh-CN"", ""en"")"),"Hangzhou")</f>
        <v>Hangzhou</v>
      </c>
      <c r="E529" s="1" t="s">
        <v>506</v>
      </c>
      <c r="F529" s="1" t="str">
        <f>IFERROR(__xludf.DUMMYFUNCTION("GOOGLETRANSLATE(E529, ""zh-CN"", ""en"")"),"Lin'an District")</f>
        <v>Lin'an District</v>
      </c>
      <c r="G529" s="1">
        <v>3.30112E11</v>
      </c>
    </row>
    <row r="530">
      <c r="A530" s="1" t="s">
        <v>487</v>
      </c>
      <c r="B530" s="1" t="str">
        <f>IFERROR(__xludf.DUMMYFUNCTION("GOOGLETRANSLATE(A456, ""zh-CN"", ""en"")"),"Hunan Province")</f>
        <v>Hunan Province</v>
      </c>
      <c r="C530" s="1" t="s">
        <v>488</v>
      </c>
      <c r="D530" s="1" t="str">
        <f>IFERROR(__xludf.DUMMYFUNCTION("GOOGLETRANSLATE(C530, ""zh-CN"", ""en"")"),"Hangzhou")</f>
        <v>Hangzhou</v>
      </c>
      <c r="E530" s="1" t="s">
        <v>507</v>
      </c>
      <c r="F530" s="1" t="str">
        <f>IFERROR(__xludf.DUMMYFUNCTION("GOOGLETRANSLATE(E530, ""zh-CN"", ""en"")"),"Linping District")</f>
        <v>Linping District</v>
      </c>
      <c r="G530" s="1">
        <v>3.30113E11</v>
      </c>
    </row>
    <row r="531">
      <c r="A531" s="1" t="s">
        <v>487</v>
      </c>
      <c r="B531" s="1" t="str">
        <f>IFERROR(__xludf.DUMMYFUNCTION("GOOGLETRANSLATE(A457, ""zh-CN"", ""en"")"),"Hunan Province")</f>
        <v>Hunan Province</v>
      </c>
      <c r="C531" s="1" t="s">
        <v>488</v>
      </c>
      <c r="D531" s="1" t="str">
        <f>IFERROR(__xludf.DUMMYFUNCTION("GOOGLETRANSLATE(C531, ""zh-CN"", ""en"")"),"Hangzhou")</f>
        <v>Hangzhou</v>
      </c>
      <c r="E531" s="1" t="s">
        <v>508</v>
      </c>
      <c r="F531" s="1" t="str">
        <f>IFERROR(__xludf.DUMMYFUNCTION("GOOGLETRANSLATE(E531, ""zh-CN"", ""en"")"),"Qiantang District")</f>
        <v>Qiantang District</v>
      </c>
      <c r="G531" s="1">
        <v>3.30114E11</v>
      </c>
    </row>
    <row r="532">
      <c r="A532" s="1" t="s">
        <v>487</v>
      </c>
      <c r="B532" s="1" t="str">
        <f>IFERROR(__xludf.DUMMYFUNCTION("GOOGLETRANSLATE(A458, ""zh-CN"", ""en"")"),"Hunan Province")</f>
        <v>Hunan Province</v>
      </c>
      <c r="C532" s="1" t="s">
        <v>488</v>
      </c>
      <c r="D532" s="1" t="str">
        <f>IFERROR(__xludf.DUMMYFUNCTION("GOOGLETRANSLATE(C532, ""zh-CN"", ""en"")"),"Hangzhou")</f>
        <v>Hangzhou</v>
      </c>
      <c r="E532" s="1" t="s">
        <v>509</v>
      </c>
      <c r="F532" s="1" t="str">
        <f>IFERROR(__xludf.DUMMYFUNCTION("GOOGLETRANSLATE(E532, ""zh-CN"", ""en"")"),"Tonglu County")</f>
        <v>Tonglu County</v>
      </c>
      <c r="G532" s="1">
        <v>3.30122E11</v>
      </c>
    </row>
    <row r="533">
      <c r="A533" s="1" t="s">
        <v>487</v>
      </c>
      <c r="B533" s="1" t="str">
        <f>IFERROR(__xludf.DUMMYFUNCTION("GOOGLETRANSLATE(A459, ""zh-CN"", ""en"")"),"Hunan Province")</f>
        <v>Hunan Province</v>
      </c>
      <c r="C533" s="1" t="s">
        <v>488</v>
      </c>
      <c r="D533" s="1" t="str">
        <f>IFERROR(__xludf.DUMMYFUNCTION("GOOGLETRANSLATE(C533, ""zh-CN"", ""en"")"),"Hangzhou")</f>
        <v>Hangzhou</v>
      </c>
      <c r="E533" s="1" t="s">
        <v>510</v>
      </c>
      <c r="F533" s="1" t="str">
        <f>IFERROR(__xludf.DUMMYFUNCTION("GOOGLETRANSLATE(E533, ""zh-CN"", ""en"")"),"Chun'an County")</f>
        <v>Chun'an County</v>
      </c>
      <c r="G533" s="1">
        <v>3.30127E11</v>
      </c>
    </row>
    <row r="534">
      <c r="A534" s="1" t="s">
        <v>487</v>
      </c>
      <c r="B534" s="1" t="str">
        <f>IFERROR(__xludf.DUMMYFUNCTION("GOOGLETRANSLATE(A460, ""zh-CN"", ""en"")"),"Hunan Province")</f>
        <v>Hunan Province</v>
      </c>
      <c r="C534" s="1" t="s">
        <v>488</v>
      </c>
      <c r="D534" s="1" t="str">
        <f>IFERROR(__xludf.DUMMYFUNCTION("GOOGLETRANSLATE(C534, ""zh-CN"", ""en"")"),"Hangzhou")</f>
        <v>Hangzhou</v>
      </c>
      <c r="E534" s="1" t="s">
        <v>511</v>
      </c>
      <c r="F534" s="1" t="str">
        <f>IFERROR(__xludf.DUMMYFUNCTION("GOOGLETRANSLATE(E534, ""zh-CN"", ""en"")"),"Jiande City")</f>
        <v>Jiande City</v>
      </c>
      <c r="G534" s="1">
        <v>3.30182E11</v>
      </c>
    </row>
    <row r="535">
      <c r="A535" s="1" t="s">
        <v>487</v>
      </c>
      <c r="B535" s="1" t="str">
        <f>IFERROR(__xludf.DUMMYFUNCTION("GOOGLETRANSLATE(A461, ""zh-CN"", ""en"")"),"Hunan Province")</f>
        <v>Hunan Province</v>
      </c>
      <c r="C535" s="1" t="s">
        <v>489</v>
      </c>
      <c r="D535" s="1" t="str">
        <f>IFERROR(__xludf.DUMMYFUNCTION("GOOGLETRANSLATE(C535, ""zh-CN"", ""en"")"),"Ningbo City")</f>
        <v>Ningbo City</v>
      </c>
      <c r="E535" s="1" t="s">
        <v>24</v>
      </c>
      <c r="F535" s="1" t="str">
        <f>IFERROR(__xludf.DUMMYFUNCTION("GOOGLETRANSLATE(E535, ""zh-CN"", ""en"")"),"City area")</f>
        <v>City area</v>
      </c>
      <c r="G535" s="1">
        <v>3.30201E11</v>
      </c>
    </row>
    <row r="536">
      <c r="A536" s="1" t="s">
        <v>487</v>
      </c>
      <c r="B536" s="1" t="str">
        <f>IFERROR(__xludf.DUMMYFUNCTION("GOOGLETRANSLATE(A462, ""zh-CN"", ""en"")"),"Hunan Province")</f>
        <v>Hunan Province</v>
      </c>
      <c r="C536" s="1" t="s">
        <v>489</v>
      </c>
      <c r="D536" s="1" t="str">
        <f>IFERROR(__xludf.DUMMYFUNCTION("GOOGLETRANSLATE(C536, ""zh-CN"", ""en"")"),"Ningbo City")</f>
        <v>Ningbo City</v>
      </c>
      <c r="E536" s="1" t="s">
        <v>512</v>
      </c>
      <c r="F536" s="1" t="str">
        <f>IFERROR(__xludf.DUMMYFUNCTION("GOOGLETRANSLATE(E536, ""zh-CN"", ""en"")"),"Haishu District")</f>
        <v>Haishu District</v>
      </c>
      <c r="G536" s="1">
        <v>3.30203E11</v>
      </c>
    </row>
    <row r="537">
      <c r="A537" s="1" t="s">
        <v>487</v>
      </c>
      <c r="B537" s="1" t="str">
        <f>IFERROR(__xludf.DUMMYFUNCTION("GOOGLETRANSLATE(A463, ""zh-CN"", ""en"")"),"Hunan Province")</f>
        <v>Hunan Province</v>
      </c>
      <c r="C537" s="1" t="s">
        <v>489</v>
      </c>
      <c r="D537" s="1" t="str">
        <f>IFERROR(__xludf.DUMMYFUNCTION("GOOGLETRANSLATE(C537, ""zh-CN"", ""en"")"),"Ningbo City")</f>
        <v>Ningbo City</v>
      </c>
      <c r="E537" s="1" t="s">
        <v>513</v>
      </c>
      <c r="F537" s="1" t="str">
        <f>IFERROR(__xludf.DUMMYFUNCTION("GOOGLETRANSLATE(E537, ""zh-CN"", ""en"")"),"Jiangbei District")</f>
        <v>Jiangbei District</v>
      </c>
      <c r="G537" s="1">
        <v>3.30205E11</v>
      </c>
    </row>
    <row r="538">
      <c r="A538" s="1" t="s">
        <v>487</v>
      </c>
      <c r="B538" s="1" t="str">
        <f>IFERROR(__xludf.DUMMYFUNCTION("GOOGLETRANSLATE(A464, ""zh-CN"", ""en"")"),"Hunan Province")</f>
        <v>Hunan Province</v>
      </c>
      <c r="C538" s="1" t="s">
        <v>489</v>
      </c>
      <c r="D538" s="1" t="str">
        <f>IFERROR(__xludf.DUMMYFUNCTION("GOOGLETRANSLATE(C538, ""zh-CN"", ""en"")"),"Ningbo City")</f>
        <v>Ningbo City</v>
      </c>
      <c r="E538" s="1" t="s">
        <v>514</v>
      </c>
      <c r="F538" s="1" t="str">
        <f>IFERROR(__xludf.DUMMYFUNCTION("GOOGLETRANSLATE(E538, ""zh-CN"", ""en"")"),"Beilun District")</f>
        <v>Beilun District</v>
      </c>
      <c r="G538" s="1">
        <v>3.30206E11</v>
      </c>
    </row>
    <row r="539">
      <c r="A539" s="1" t="s">
        <v>487</v>
      </c>
      <c r="B539" s="1" t="str">
        <f>IFERROR(__xludf.DUMMYFUNCTION("GOOGLETRANSLATE(A465, ""zh-CN"", ""en"")"),"Hunan Province")</f>
        <v>Hunan Province</v>
      </c>
      <c r="C539" s="1" t="s">
        <v>489</v>
      </c>
      <c r="D539" s="1" t="str">
        <f>IFERROR(__xludf.DUMMYFUNCTION("GOOGLETRANSLATE(C539, ""zh-CN"", ""en"")"),"Ningbo City")</f>
        <v>Ningbo City</v>
      </c>
      <c r="E539" s="1" t="s">
        <v>515</v>
      </c>
      <c r="F539" s="1" t="str">
        <f>IFERROR(__xludf.DUMMYFUNCTION("GOOGLETRANSLATE(E539, ""zh-CN"", ""en"")"),"Zhenhai District")</f>
        <v>Zhenhai District</v>
      </c>
      <c r="G539" s="1">
        <v>3.30211E11</v>
      </c>
    </row>
    <row r="540">
      <c r="A540" s="1" t="s">
        <v>487</v>
      </c>
      <c r="B540" s="1" t="str">
        <f>IFERROR(__xludf.DUMMYFUNCTION("GOOGLETRANSLATE(A466, ""zh-CN"", ""en"")"),"Hunan Province")</f>
        <v>Hunan Province</v>
      </c>
      <c r="C540" s="1" t="s">
        <v>489</v>
      </c>
      <c r="D540" s="1" t="str">
        <f>IFERROR(__xludf.DUMMYFUNCTION("GOOGLETRANSLATE(C540, ""zh-CN"", ""en"")"),"Ningbo City")</f>
        <v>Ningbo City</v>
      </c>
      <c r="E540" s="1" t="s">
        <v>516</v>
      </c>
      <c r="F540" s="1" t="str">
        <f>IFERROR(__xludf.DUMMYFUNCTION("GOOGLETRANSLATE(E540, ""zh-CN"", ""en"")"),"Yinzhou District")</f>
        <v>Yinzhou District</v>
      </c>
      <c r="G540" s="1">
        <v>3.30212E11</v>
      </c>
    </row>
    <row r="541">
      <c r="A541" s="1" t="s">
        <v>487</v>
      </c>
      <c r="B541" s="1" t="str">
        <f>IFERROR(__xludf.DUMMYFUNCTION("GOOGLETRANSLATE(A467, ""zh-CN"", ""en"")"),"Hunan Province")</f>
        <v>Hunan Province</v>
      </c>
      <c r="C541" s="1" t="s">
        <v>489</v>
      </c>
      <c r="D541" s="1" t="str">
        <f>IFERROR(__xludf.DUMMYFUNCTION("GOOGLETRANSLATE(C541, ""zh-CN"", ""en"")"),"Ningbo City")</f>
        <v>Ningbo City</v>
      </c>
      <c r="E541" s="1" t="s">
        <v>517</v>
      </c>
      <c r="F541" s="1" t="str">
        <f>IFERROR(__xludf.DUMMYFUNCTION("GOOGLETRANSLATE(E541, ""zh-CN"", ""en"")"),"Fenghua District")</f>
        <v>Fenghua District</v>
      </c>
      <c r="G541" s="1">
        <v>3.30213E11</v>
      </c>
    </row>
    <row r="542">
      <c r="A542" s="1" t="s">
        <v>487</v>
      </c>
      <c r="B542" s="1" t="str">
        <f>IFERROR(__xludf.DUMMYFUNCTION("GOOGLETRANSLATE(A468, ""zh-CN"", ""en"")"),"Hunan Province")</f>
        <v>Hunan Province</v>
      </c>
      <c r="C542" s="1" t="s">
        <v>489</v>
      </c>
      <c r="D542" s="1" t="str">
        <f>IFERROR(__xludf.DUMMYFUNCTION("GOOGLETRANSLATE(C542, ""zh-CN"", ""en"")"),"Ningbo City")</f>
        <v>Ningbo City</v>
      </c>
      <c r="E542" s="1" t="s">
        <v>518</v>
      </c>
      <c r="F542" s="1" t="str">
        <f>IFERROR(__xludf.DUMMYFUNCTION("GOOGLETRANSLATE(E542, ""zh-CN"", ""en"")"),"Xiangshan County")</f>
        <v>Xiangshan County</v>
      </c>
      <c r="G542" s="1">
        <v>3.30225E11</v>
      </c>
    </row>
    <row r="543">
      <c r="A543" s="1" t="s">
        <v>487</v>
      </c>
      <c r="B543" s="1" t="str">
        <f>IFERROR(__xludf.DUMMYFUNCTION("GOOGLETRANSLATE(A469, ""zh-CN"", ""en"")"),"Hunan Province")</f>
        <v>Hunan Province</v>
      </c>
      <c r="C543" s="1" t="s">
        <v>489</v>
      </c>
      <c r="D543" s="1" t="str">
        <f>IFERROR(__xludf.DUMMYFUNCTION("GOOGLETRANSLATE(C543, ""zh-CN"", ""en"")"),"Ningbo City")</f>
        <v>Ningbo City</v>
      </c>
      <c r="E543" s="1" t="s">
        <v>519</v>
      </c>
      <c r="F543" s="1" t="str">
        <f>IFERROR(__xludf.DUMMYFUNCTION("GOOGLETRANSLATE(E543, ""zh-CN"", ""en"")"),"Ninghai County")</f>
        <v>Ninghai County</v>
      </c>
      <c r="G543" s="1">
        <v>3.30226E11</v>
      </c>
    </row>
    <row r="544">
      <c r="A544" s="1" t="s">
        <v>487</v>
      </c>
      <c r="B544" s="1" t="str">
        <f>IFERROR(__xludf.DUMMYFUNCTION("GOOGLETRANSLATE(A470, ""zh-CN"", ""en"")"),"Hunan Province")</f>
        <v>Hunan Province</v>
      </c>
      <c r="C544" s="1" t="s">
        <v>489</v>
      </c>
      <c r="D544" s="1" t="str">
        <f>IFERROR(__xludf.DUMMYFUNCTION("GOOGLETRANSLATE(C544, ""zh-CN"", ""en"")"),"Ningbo City")</f>
        <v>Ningbo City</v>
      </c>
      <c r="E544" s="1" t="s">
        <v>520</v>
      </c>
      <c r="F544" s="1" t="str">
        <f>IFERROR(__xludf.DUMMYFUNCTION("GOOGLETRANSLATE(E544, ""zh-CN"", ""en"")"),"Yuyao City")</f>
        <v>Yuyao City</v>
      </c>
      <c r="G544" s="1">
        <v>3.30281E11</v>
      </c>
    </row>
    <row r="545">
      <c r="A545" s="1" t="s">
        <v>487</v>
      </c>
      <c r="B545" s="1" t="str">
        <f>IFERROR(__xludf.DUMMYFUNCTION("GOOGLETRANSLATE(A471, ""zh-CN"", ""en"")"),"Hunan Province")</f>
        <v>Hunan Province</v>
      </c>
      <c r="C545" s="1" t="s">
        <v>489</v>
      </c>
      <c r="D545" s="1" t="str">
        <f>IFERROR(__xludf.DUMMYFUNCTION("GOOGLETRANSLATE(C545, ""zh-CN"", ""en"")"),"Ningbo City")</f>
        <v>Ningbo City</v>
      </c>
      <c r="E545" s="1" t="s">
        <v>521</v>
      </c>
      <c r="F545" s="1" t="str">
        <f>IFERROR(__xludf.DUMMYFUNCTION("GOOGLETRANSLATE(E545, ""zh-CN"", ""en"")"),"Cixi City")</f>
        <v>Cixi City</v>
      </c>
      <c r="G545" s="1">
        <v>3.30282E11</v>
      </c>
    </row>
    <row r="546">
      <c r="A546" s="1" t="s">
        <v>487</v>
      </c>
      <c r="B546" s="1" t="str">
        <f>IFERROR(__xludf.DUMMYFUNCTION("GOOGLETRANSLATE(A472, ""zh-CN"", ""en"")"),"Hunan Province")</f>
        <v>Hunan Province</v>
      </c>
      <c r="C546" s="1" t="s">
        <v>490</v>
      </c>
      <c r="D546" s="1" t="str">
        <f>IFERROR(__xludf.DUMMYFUNCTION("GOOGLETRANSLATE(C546, ""zh-CN"", ""en"")"),"Wenzhou city")</f>
        <v>Wenzhou city</v>
      </c>
      <c r="E546" s="1" t="s">
        <v>24</v>
      </c>
      <c r="F546" s="1" t="str">
        <f>IFERROR(__xludf.DUMMYFUNCTION("GOOGLETRANSLATE(E546, ""zh-CN"", ""en"")"),"City area")</f>
        <v>City area</v>
      </c>
      <c r="G546" s="1">
        <v>3.30301E11</v>
      </c>
    </row>
    <row r="547">
      <c r="A547" s="1" t="s">
        <v>487</v>
      </c>
      <c r="B547" s="1" t="str">
        <f>IFERROR(__xludf.DUMMYFUNCTION("GOOGLETRANSLATE(A473, ""zh-CN"", ""en"")"),"Hunan Province")</f>
        <v>Hunan Province</v>
      </c>
      <c r="C547" s="1" t="s">
        <v>490</v>
      </c>
      <c r="D547" s="1" t="str">
        <f>IFERROR(__xludf.DUMMYFUNCTION("GOOGLETRANSLATE(C547, ""zh-CN"", ""en"")"),"Wenzhou city")</f>
        <v>Wenzhou city</v>
      </c>
      <c r="E547" s="1" t="s">
        <v>522</v>
      </c>
      <c r="F547" s="1" t="str">
        <f>IFERROR(__xludf.DUMMYFUNCTION("GOOGLETRANSLATE(E547, ""zh-CN"", ""en"")"),"Lucheng District")</f>
        <v>Lucheng District</v>
      </c>
      <c r="G547" s="1">
        <v>3.30302E11</v>
      </c>
    </row>
    <row r="548">
      <c r="A548" s="1" t="s">
        <v>487</v>
      </c>
      <c r="B548" s="1" t="str">
        <f>IFERROR(__xludf.DUMMYFUNCTION("GOOGLETRANSLATE(A474, ""zh-CN"", ""en"")"),"Hunan Province")</f>
        <v>Hunan Province</v>
      </c>
      <c r="C548" s="1" t="s">
        <v>490</v>
      </c>
      <c r="D548" s="1" t="str">
        <f>IFERROR(__xludf.DUMMYFUNCTION("GOOGLETRANSLATE(C548, ""zh-CN"", ""en"")"),"Wenzhou city")</f>
        <v>Wenzhou city</v>
      </c>
      <c r="E548" s="1" t="s">
        <v>523</v>
      </c>
      <c r="F548" s="1" t="str">
        <f>IFERROR(__xludf.DUMMYFUNCTION("GOOGLETRANSLATE(E548, ""zh-CN"", ""en"")"),"Longwan District")</f>
        <v>Longwan District</v>
      </c>
      <c r="G548" s="1">
        <v>3.30303E11</v>
      </c>
    </row>
    <row r="549">
      <c r="A549" s="1" t="s">
        <v>487</v>
      </c>
      <c r="B549" s="1" t="str">
        <f>IFERROR(__xludf.DUMMYFUNCTION("GOOGLETRANSLATE(A475, ""zh-CN"", ""en"")"),"Hunan Province")</f>
        <v>Hunan Province</v>
      </c>
      <c r="C549" s="1" t="s">
        <v>490</v>
      </c>
      <c r="D549" s="1" t="str">
        <f>IFERROR(__xludf.DUMMYFUNCTION("GOOGLETRANSLATE(C549, ""zh-CN"", ""en"")"),"Wenzhou city")</f>
        <v>Wenzhou city</v>
      </c>
      <c r="E549" s="1" t="s">
        <v>524</v>
      </c>
      <c r="F549" s="1" t="str">
        <f>IFERROR(__xludf.DUMMYFUNCTION("GOOGLETRANSLATE(E549, ""zh-CN"", ""en"")"),"Haihai District")</f>
        <v>Haihai District</v>
      </c>
      <c r="G549" s="1">
        <v>3.30304E11</v>
      </c>
    </row>
    <row r="550">
      <c r="A550" s="1" t="s">
        <v>487</v>
      </c>
      <c r="B550" s="1" t="str">
        <f>IFERROR(__xludf.DUMMYFUNCTION("GOOGLETRANSLATE(A476, ""zh-CN"", ""en"")"),"Hunan Province")</f>
        <v>Hunan Province</v>
      </c>
      <c r="C550" s="1" t="s">
        <v>490</v>
      </c>
      <c r="D550" s="1" t="str">
        <f>IFERROR(__xludf.DUMMYFUNCTION("GOOGLETRANSLATE(C550, ""zh-CN"", ""en"")"),"Wenzhou city")</f>
        <v>Wenzhou city</v>
      </c>
      <c r="E550" s="1" t="s">
        <v>525</v>
      </c>
      <c r="F550" s="1" t="str">
        <f>IFERROR(__xludf.DUMMYFUNCTION("GOOGLETRANSLATE(E550, ""zh-CN"", ""en"")"),"Cave area")</f>
        <v>Cave area</v>
      </c>
      <c r="G550" s="1">
        <v>3.30305E11</v>
      </c>
    </row>
    <row r="551">
      <c r="A551" s="1" t="s">
        <v>487</v>
      </c>
      <c r="B551" s="1" t="str">
        <f>IFERROR(__xludf.DUMMYFUNCTION("GOOGLETRANSLATE(A477, ""zh-CN"", ""en"")"),"Hunan Province")</f>
        <v>Hunan Province</v>
      </c>
      <c r="C551" s="1" t="s">
        <v>490</v>
      </c>
      <c r="D551" s="1" t="str">
        <f>IFERROR(__xludf.DUMMYFUNCTION("GOOGLETRANSLATE(C551, ""zh-CN"", ""en"")"),"Wenzhou city")</f>
        <v>Wenzhou city</v>
      </c>
      <c r="E551" s="1" t="s">
        <v>526</v>
      </c>
      <c r="F551" s="1" t="str">
        <f>IFERROR(__xludf.DUMMYFUNCTION("GOOGLETRANSLATE(E551, ""zh-CN"", ""en"")"),"Yongjia County")</f>
        <v>Yongjia County</v>
      </c>
      <c r="G551" s="1">
        <v>3.30324E11</v>
      </c>
    </row>
    <row r="552">
      <c r="A552" s="1" t="s">
        <v>487</v>
      </c>
      <c r="B552" s="1" t="str">
        <f>IFERROR(__xludf.DUMMYFUNCTION("GOOGLETRANSLATE(A478, ""zh-CN"", ""en"")"),"Hunan Province")</f>
        <v>Hunan Province</v>
      </c>
      <c r="C552" s="1" t="s">
        <v>490</v>
      </c>
      <c r="D552" s="1" t="str">
        <f>IFERROR(__xludf.DUMMYFUNCTION("GOOGLETRANSLATE(C552, ""zh-CN"", ""en"")"),"Wenzhou city")</f>
        <v>Wenzhou city</v>
      </c>
      <c r="E552" s="1" t="s">
        <v>527</v>
      </c>
      <c r="F552" s="1" t="str">
        <f>IFERROR(__xludf.DUMMYFUNCTION("GOOGLETRANSLATE(E552, ""zh-CN"", ""en"")"),"Pingyang County")</f>
        <v>Pingyang County</v>
      </c>
      <c r="G552" s="1">
        <v>3.30326E11</v>
      </c>
    </row>
    <row r="553">
      <c r="A553" s="1" t="s">
        <v>487</v>
      </c>
      <c r="B553" s="1" t="str">
        <f>IFERROR(__xludf.DUMMYFUNCTION("GOOGLETRANSLATE(A479, ""zh-CN"", ""en"")"),"Hunan Province")</f>
        <v>Hunan Province</v>
      </c>
      <c r="C553" s="1" t="s">
        <v>490</v>
      </c>
      <c r="D553" s="1" t="str">
        <f>IFERROR(__xludf.DUMMYFUNCTION("GOOGLETRANSLATE(C553, ""zh-CN"", ""en"")"),"Wenzhou city")</f>
        <v>Wenzhou city</v>
      </c>
      <c r="E553" s="1" t="s">
        <v>528</v>
      </c>
      <c r="F553" s="1" t="str">
        <f>IFERROR(__xludf.DUMMYFUNCTION("GOOGLETRANSLATE(E553, ""zh-CN"", ""en"")"),"Cangnan County")</f>
        <v>Cangnan County</v>
      </c>
      <c r="G553" s="1">
        <v>3.30327E11</v>
      </c>
    </row>
    <row r="554">
      <c r="A554" s="1" t="s">
        <v>487</v>
      </c>
      <c r="B554" s="1" t="str">
        <f>IFERROR(__xludf.DUMMYFUNCTION("GOOGLETRANSLATE(A480, ""zh-CN"", ""en"")"),"Hunan Province")</f>
        <v>Hunan Province</v>
      </c>
      <c r="C554" s="1" t="s">
        <v>490</v>
      </c>
      <c r="D554" s="1" t="str">
        <f>IFERROR(__xludf.DUMMYFUNCTION("GOOGLETRANSLATE(C554, ""zh-CN"", ""en"")"),"Wenzhou city")</f>
        <v>Wenzhou city</v>
      </c>
      <c r="E554" s="1" t="s">
        <v>529</v>
      </c>
      <c r="F554" s="1" t="str">
        <f>IFERROR(__xludf.DUMMYFUNCTION("GOOGLETRANSLATE(E554, ""zh-CN"", ""en"")"),"Wencheng County")</f>
        <v>Wencheng County</v>
      </c>
      <c r="G554" s="1">
        <v>3.30328E11</v>
      </c>
    </row>
    <row r="555">
      <c r="A555" s="1" t="s">
        <v>487</v>
      </c>
      <c r="B555" s="1" t="str">
        <f>IFERROR(__xludf.DUMMYFUNCTION("GOOGLETRANSLATE(A481, ""zh-CN"", ""en"")"),"Hunan Province")</f>
        <v>Hunan Province</v>
      </c>
      <c r="C555" s="1" t="s">
        <v>490</v>
      </c>
      <c r="D555" s="1" t="str">
        <f>IFERROR(__xludf.DUMMYFUNCTION("GOOGLETRANSLATE(C555, ""zh-CN"", ""en"")"),"Wenzhou city")</f>
        <v>Wenzhou city</v>
      </c>
      <c r="E555" s="1" t="s">
        <v>530</v>
      </c>
      <c r="F555" s="1" t="str">
        <f>IFERROR(__xludf.DUMMYFUNCTION("GOOGLETRANSLATE(E555, ""zh-CN"", ""en"")"),"Taishun County")</f>
        <v>Taishun County</v>
      </c>
      <c r="G555" s="1">
        <v>3.30329E11</v>
      </c>
    </row>
    <row r="556">
      <c r="A556" s="1" t="s">
        <v>487</v>
      </c>
      <c r="B556" s="1" t="str">
        <f>IFERROR(__xludf.DUMMYFUNCTION("GOOGLETRANSLATE(A482, ""zh-CN"", ""en"")"),"Hunan Province")</f>
        <v>Hunan Province</v>
      </c>
      <c r="C556" s="1" t="s">
        <v>490</v>
      </c>
      <c r="D556" s="1" t="str">
        <f>IFERROR(__xludf.DUMMYFUNCTION("GOOGLETRANSLATE(C556, ""zh-CN"", ""en"")"),"Wenzhou city")</f>
        <v>Wenzhou city</v>
      </c>
      <c r="E556" s="1" t="s">
        <v>531</v>
      </c>
      <c r="F556" s="1" t="str">
        <f>IFERROR(__xludf.DUMMYFUNCTION("GOOGLETRANSLATE(E556, ""zh-CN"", ""en"")"),"Ruian")</f>
        <v>Ruian</v>
      </c>
      <c r="G556" s="1">
        <v>3.30381E11</v>
      </c>
    </row>
    <row r="557">
      <c r="A557" s="1" t="s">
        <v>487</v>
      </c>
      <c r="B557" s="1" t="str">
        <f>IFERROR(__xludf.DUMMYFUNCTION("GOOGLETRANSLATE(A483, ""zh-CN"", ""en"")"),"Hunan Province")</f>
        <v>Hunan Province</v>
      </c>
      <c r="C557" s="1" t="s">
        <v>490</v>
      </c>
      <c r="D557" s="1" t="str">
        <f>IFERROR(__xludf.DUMMYFUNCTION("GOOGLETRANSLATE(C557, ""zh-CN"", ""en"")"),"Wenzhou city")</f>
        <v>Wenzhou city</v>
      </c>
      <c r="E557" s="1" t="s">
        <v>532</v>
      </c>
      <c r="F557" s="1" t="str">
        <f>IFERROR(__xludf.DUMMYFUNCTION("GOOGLETRANSLATE(E557, ""zh-CN"", ""en"")"),"Leqing City")</f>
        <v>Leqing City</v>
      </c>
      <c r="G557" s="1">
        <v>3.30382E11</v>
      </c>
    </row>
    <row r="558">
      <c r="A558" s="1" t="s">
        <v>487</v>
      </c>
      <c r="B558" s="1" t="str">
        <f>IFERROR(__xludf.DUMMYFUNCTION("GOOGLETRANSLATE(A484, ""zh-CN"", ""en"")"),"Hunan Province")</f>
        <v>Hunan Province</v>
      </c>
      <c r="C558" s="1" t="s">
        <v>490</v>
      </c>
      <c r="D558" s="1" t="str">
        <f>IFERROR(__xludf.DUMMYFUNCTION("GOOGLETRANSLATE(C558, ""zh-CN"", ""en"")"),"Wenzhou city")</f>
        <v>Wenzhou city</v>
      </c>
      <c r="E558" s="1" t="s">
        <v>533</v>
      </c>
      <c r="F558" s="1" t="str">
        <f>IFERROR(__xludf.DUMMYFUNCTION("GOOGLETRANSLATE(E558, ""zh-CN"", ""en"")"),"Longgang City")</f>
        <v>Longgang City</v>
      </c>
      <c r="G558" s="1">
        <v>3.30383E11</v>
      </c>
    </row>
    <row r="559">
      <c r="A559" s="1" t="s">
        <v>487</v>
      </c>
      <c r="B559" s="1" t="str">
        <f>IFERROR(__xludf.DUMMYFUNCTION("GOOGLETRANSLATE(A485, ""zh-CN"", ""en"")"),"Hunan Province")</f>
        <v>Hunan Province</v>
      </c>
      <c r="C559" s="1" t="s">
        <v>491</v>
      </c>
      <c r="D559" s="1" t="str">
        <f>IFERROR(__xludf.DUMMYFUNCTION("GOOGLETRANSLATE(C559, ""zh-CN"", ""en"")"),"Jiaxing City")</f>
        <v>Jiaxing City</v>
      </c>
      <c r="E559" s="1" t="s">
        <v>24</v>
      </c>
      <c r="F559" s="1" t="str">
        <f>IFERROR(__xludf.DUMMYFUNCTION("GOOGLETRANSLATE(E559, ""zh-CN"", ""en"")"),"City area")</f>
        <v>City area</v>
      </c>
      <c r="G559" s="1">
        <v>3.30401E11</v>
      </c>
    </row>
    <row r="560">
      <c r="A560" s="1" t="s">
        <v>487</v>
      </c>
      <c r="B560" s="1" t="str">
        <f>IFERROR(__xludf.DUMMYFUNCTION("GOOGLETRANSLATE(A486, ""zh-CN"", ""en"")"),"Hunan Province")</f>
        <v>Hunan Province</v>
      </c>
      <c r="C560" s="1" t="s">
        <v>491</v>
      </c>
      <c r="D560" s="1" t="str">
        <f>IFERROR(__xludf.DUMMYFUNCTION("GOOGLETRANSLATE(C560, ""zh-CN"", ""en"")"),"Jiaxing City")</f>
        <v>Jiaxing City</v>
      </c>
      <c r="E560" s="1" t="s">
        <v>534</v>
      </c>
      <c r="F560" s="1" t="str">
        <f>IFERROR(__xludf.DUMMYFUNCTION("GOOGLETRANSLATE(E560, ""zh-CN"", ""en"")"),"Nanhu District")</f>
        <v>Nanhu District</v>
      </c>
      <c r="G560" s="1">
        <v>3.30402E11</v>
      </c>
    </row>
    <row r="561">
      <c r="A561" s="1" t="s">
        <v>487</v>
      </c>
      <c r="B561" s="1" t="str">
        <f>IFERROR(__xludf.DUMMYFUNCTION("GOOGLETRANSLATE(A487, ""zh-CN"", ""en"")"),"Hunan Province")</f>
        <v>Hunan Province</v>
      </c>
      <c r="C561" s="1" t="s">
        <v>491</v>
      </c>
      <c r="D561" s="1" t="str">
        <f>IFERROR(__xludf.DUMMYFUNCTION("GOOGLETRANSLATE(C561, ""zh-CN"", ""en"")"),"Jiaxing City")</f>
        <v>Jiaxing City</v>
      </c>
      <c r="E561" s="1" t="s">
        <v>535</v>
      </c>
      <c r="F561" s="1" t="str">
        <f>IFERROR(__xludf.DUMMYFUNCTION("GOOGLETRANSLATE(E561, ""zh-CN"", ""en"")"),"Xiuzhou District")</f>
        <v>Xiuzhou District</v>
      </c>
      <c r="G561" s="1">
        <v>3.30411E11</v>
      </c>
    </row>
    <row r="562">
      <c r="A562" s="1" t="s">
        <v>487</v>
      </c>
      <c r="B562" s="1" t="str">
        <f>IFERROR(__xludf.DUMMYFUNCTION("GOOGLETRANSLATE(A488, ""zh-CN"", ""en"")"),"Hunan Province")</f>
        <v>Hunan Province</v>
      </c>
      <c r="C562" s="1" t="s">
        <v>491</v>
      </c>
      <c r="D562" s="1" t="str">
        <f>IFERROR(__xludf.DUMMYFUNCTION("GOOGLETRANSLATE(C562, ""zh-CN"", ""en"")"),"Jiaxing City")</f>
        <v>Jiaxing City</v>
      </c>
      <c r="E562" s="1" t="s">
        <v>536</v>
      </c>
      <c r="F562" s="1" t="str">
        <f>IFERROR(__xludf.DUMMYFUNCTION("GOOGLETRANSLATE(E562, ""zh-CN"", ""en"")"),"Jiashan County")</f>
        <v>Jiashan County</v>
      </c>
      <c r="G562" s="1">
        <v>3.30421E11</v>
      </c>
    </row>
    <row r="563">
      <c r="A563" s="1" t="s">
        <v>487</v>
      </c>
      <c r="B563" s="1" t="str">
        <f>IFERROR(__xludf.DUMMYFUNCTION("GOOGLETRANSLATE(A489, ""zh-CN"", ""en"")"),"Hunan Province")</f>
        <v>Hunan Province</v>
      </c>
      <c r="C563" s="1" t="s">
        <v>491</v>
      </c>
      <c r="D563" s="1" t="str">
        <f>IFERROR(__xludf.DUMMYFUNCTION("GOOGLETRANSLATE(C563, ""zh-CN"", ""en"")"),"Jiaxing City")</f>
        <v>Jiaxing City</v>
      </c>
      <c r="E563" s="1" t="s">
        <v>537</v>
      </c>
      <c r="F563" s="1" t="str">
        <f>IFERROR(__xludf.DUMMYFUNCTION("GOOGLETRANSLATE(E563, ""zh-CN"", ""en"")"),"Haiyan County")</f>
        <v>Haiyan County</v>
      </c>
      <c r="G563" s="1">
        <v>3.30424E11</v>
      </c>
    </row>
    <row r="564">
      <c r="A564" s="1" t="s">
        <v>487</v>
      </c>
      <c r="B564" s="1" t="str">
        <f>IFERROR(__xludf.DUMMYFUNCTION("GOOGLETRANSLATE(A490, ""zh-CN"", ""en"")"),"Hunan Province")</f>
        <v>Hunan Province</v>
      </c>
      <c r="C564" s="1" t="s">
        <v>491</v>
      </c>
      <c r="D564" s="1" t="str">
        <f>IFERROR(__xludf.DUMMYFUNCTION("GOOGLETRANSLATE(C564, ""zh-CN"", ""en"")"),"Jiaxing City")</f>
        <v>Jiaxing City</v>
      </c>
      <c r="E564" s="1" t="s">
        <v>538</v>
      </c>
      <c r="F564" s="1" t="str">
        <f>IFERROR(__xludf.DUMMYFUNCTION("GOOGLETRANSLATE(E564, ""zh-CN"", ""en"")"),"Haining City")</f>
        <v>Haining City</v>
      </c>
      <c r="G564" s="1">
        <v>3.30481E11</v>
      </c>
    </row>
    <row r="565">
      <c r="A565" s="1" t="s">
        <v>487</v>
      </c>
      <c r="B565" s="1" t="str">
        <f>IFERROR(__xludf.DUMMYFUNCTION("GOOGLETRANSLATE(A491, ""zh-CN"", ""en"")"),"Shanghai")</f>
        <v>Shanghai</v>
      </c>
      <c r="C565" s="1" t="s">
        <v>491</v>
      </c>
      <c r="D565" s="1" t="str">
        <f>IFERROR(__xludf.DUMMYFUNCTION("GOOGLETRANSLATE(C565, ""zh-CN"", ""en"")"),"Jiaxing City")</f>
        <v>Jiaxing City</v>
      </c>
      <c r="E565" s="1" t="s">
        <v>539</v>
      </c>
      <c r="F565" s="1" t="str">
        <f>IFERROR(__xludf.DUMMYFUNCTION("GOOGLETRANSLATE(E565, ""zh-CN"", ""en"")"),"Pinghu City")</f>
        <v>Pinghu City</v>
      </c>
      <c r="G565" s="1">
        <v>3.30482E11</v>
      </c>
    </row>
    <row r="566">
      <c r="A566" s="1" t="s">
        <v>487</v>
      </c>
      <c r="B566" s="1" t="str">
        <f>IFERROR(__xludf.DUMMYFUNCTION("GOOGLETRANSLATE(A492, ""zh-CN"", ""en"")"),"Shanghai")</f>
        <v>Shanghai</v>
      </c>
      <c r="C566" s="1" t="s">
        <v>491</v>
      </c>
      <c r="D566" s="1" t="str">
        <f>IFERROR(__xludf.DUMMYFUNCTION("GOOGLETRANSLATE(C566, ""zh-CN"", ""en"")"),"Jiaxing City")</f>
        <v>Jiaxing City</v>
      </c>
      <c r="E566" s="1" t="s">
        <v>540</v>
      </c>
      <c r="F566" s="1" t="str">
        <f>IFERROR(__xludf.DUMMYFUNCTION("GOOGLETRANSLATE(E566, ""zh-CN"", ""en"")"),"Tongxiang City")</f>
        <v>Tongxiang City</v>
      </c>
      <c r="G566" s="1">
        <v>3.30483E11</v>
      </c>
    </row>
    <row r="567">
      <c r="A567" s="1" t="s">
        <v>487</v>
      </c>
      <c r="B567" s="1" t="str">
        <f>IFERROR(__xludf.DUMMYFUNCTION("GOOGLETRANSLATE(A493, ""zh-CN"", ""en"")"),"Shanghai")</f>
        <v>Shanghai</v>
      </c>
      <c r="C567" s="1" t="s">
        <v>492</v>
      </c>
      <c r="D567" s="1" t="str">
        <f>IFERROR(__xludf.DUMMYFUNCTION("GOOGLETRANSLATE(C567, ""zh-CN"", ""en"")"),"Huzhou")</f>
        <v>Huzhou</v>
      </c>
      <c r="E567" s="1" t="s">
        <v>24</v>
      </c>
      <c r="F567" s="1" t="str">
        <f>IFERROR(__xludf.DUMMYFUNCTION("GOOGLETRANSLATE(E567, ""zh-CN"", ""en"")"),"City area")</f>
        <v>City area</v>
      </c>
      <c r="G567" s="1">
        <v>3.30501E11</v>
      </c>
    </row>
    <row r="568">
      <c r="A568" s="1" t="s">
        <v>487</v>
      </c>
      <c r="B568" s="1" t="str">
        <f>IFERROR(__xludf.DUMMYFUNCTION("GOOGLETRANSLATE(A494, ""zh-CN"", ""en"")"),"Shanghai")</f>
        <v>Shanghai</v>
      </c>
      <c r="C568" s="1" t="s">
        <v>492</v>
      </c>
      <c r="D568" s="1" t="str">
        <f>IFERROR(__xludf.DUMMYFUNCTION("GOOGLETRANSLATE(C568, ""zh-CN"", ""en"")"),"Huzhou")</f>
        <v>Huzhou</v>
      </c>
      <c r="E568" s="1" t="s">
        <v>541</v>
      </c>
      <c r="F568" s="1" t="str">
        <f>IFERROR(__xludf.DUMMYFUNCTION("GOOGLETRANSLATE(E568, ""zh-CN"", ""en"")"),"Wuxing District")</f>
        <v>Wuxing District</v>
      </c>
      <c r="G568" s="1">
        <v>3.30502E11</v>
      </c>
    </row>
    <row r="569">
      <c r="A569" s="1" t="s">
        <v>487</v>
      </c>
      <c r="B569" s="1" t="str">
        <f>IFERROR(__xludf.DUMMYFUNCTION("GOOGLETRANSLATE(A495, ""zh-CN"", ""en"")"),"Shanghai")</f>
        <v>Shanghai</v>
      </c>
      <c r="C569" s="1" t="s">
        <v>492</v>
      </c>
      <c r="D569" s="1" t="str">
        <f>IFERROR(__xludf.DUMMYFUNCTION("GOOGLETRANSLATE(C569, ""zh-CN"", ""en"")"),"Huzhou")</f>
        <v>Huzhou</v>
      </c>
      <c r="E569" s="1" t="s">
        <v>542</v>
      </c>
      <c r="F569" s="1" t="str">
        <f>IFERROR(__xludf.DUMMYFUNCTION("GOOGLETRANSLATE(E569, ""zh-CN"", ""en"")"),"Nanxun District")</f>
        <v>Nanxun District</v>
      </c>
      <c r="G569" s="1">
        <v>3.30503E11</v>
      </c>
    </row>
    <row r="570">
      <c r="A570" s="1" t="s">
        <v>487</v>
      </c>
      <c r="B570" s="1" t="str">
        <f>IFERROR(__xludf.DUMMYFUNCTION("GOOGLETRANSLATE(A496, ""zh-CN"", ""en"")"),"Shanghai")</f>
        <v>Shanghai</v>
      </c>
      <c r="C570" s="1" t="s">
        <v>492</v>
      </c>
      <c r="D570" s="1" t="str">
        <f>IFERROR(__xludf.DUMMYFUNCTION("GOOGLETRANSLATE(C570, ""zh-CN"", ""en"")"),"Huzhou")</f>
        <v>Huzhou</v>
      </c>
      <c r="E570" s="1" t="s">
        <v>543</v>
      </c>
      <c r="F570" s="1" t="str">
        <f>IFERROR(__xludf.DUMMYFUNCTION("GOOGLETRANSLATE(E570, ""zh-CN"", ""en"")"),"Deqing County")</f>
        <v>Deqing County</v>
      </c>
      <c r="G570" s="1">
        <v>3.30521E11</v>
      </c>
    </row>
    <row r="571">
      <c r="A571" s="1" t="s">
        <v>487</v>
      </c>
      <c r="B571" s="1" t="str">
        <f>IFERROR(__xludf.DUMMYFUNCTION("GOOGLETRANSLATE(A497, ""zh-CN"", ""en"")"),"Shanghai")</f>
        <v>Shanghai</v>
      </c>
      <c r="C571" s="1" t="s">
        <v>492</v>
      </c>
      <c r="D571" s="1" t="str">
        <f>IFERROR(__xludf.DUMMYFUNCTION("GOOGLETRANSLATE(C571, ""zh-CN"", ""en"")"),"Huzhou")</f>
        <v>Huzhou</v>
      </c>
      <c r="E571" s="1" t="s">
        <v>544</v>
      </c>
      <c r="F571" s="1" t="str">
        <f>IFERROR(__xludf.DUMMYFUNCTION("GOOGLETRANSLATE(E571, ""zh-CN"", ""en"")"),"Changxing County")</f>
        <v>Changxing County</v>
      </c>
      <c r="G571" s="1">
        <v>3.30522E11</v>
      </c>
    </row>
    <row r="572">
      <c r="A572" s="1" t="s">
        <v>487</v>
      </c>
      <c r="B572" s="1" t="str">
        <f>IFERROR(__xludf.DUMMYFUNCTION("GOOGLETRANSLATE(A498, ""zh-CN"", ""en"")"),"Shanghai")</f>
        <v>Shanghai</v>
      </c>
      <c r="C572" s="1" t="s">
        <v>492</v>
      </c>
      <c r="D572" s="1" t="str">
        <f>IFERROR(__xludf.DUMMYFUNCTION("GOOGLETRANSLATE(C572, ""zh-CN"", ""en"")"),"Huzhou")</f>
        <v>Huzhou</v>
      </c>
      <c r="E572" s="1" t="s">
        <v>545</v>
      </c>
      <c r="F572" s="1" t="str">
        <f>IFERROR(__xludf.DUMMYFUNCTION("GOOGLETRANSLATE(E572, ""zh-CN"", ""en"")"),"Anji County")</f>
        <v>Anji County</v>
      </c>
      <c r="G572" s="1">
        <v>3.30523E11</v>
      </c>
    </row>
    <row r="573">
      <c r="A573" s="1" t="s">
        <v>487</v>
      </c>
      <c r="B573" s="1" t="str">
        <f>IFERROR(__xludf.DUMMYFUNCTION("GOOGLETRANSLATE(A499, ""zh-CN"", ""en"")"),"Shanghai")</f>
        <v>Shanghai</v>
      </c>
      <c r="C573" s="1" t="s">
        <v>493</v>
      </c>
      <c r="D573" s="1" t="str">
        <f>IFERROR(__xludf.DUMMYFUNCTION("GOOGLETRANSLATE(C573, ""zh-CN"", ""en"")"),"Shaoxing City")</f>
        <v>Shaoxing City</v>
      </c>
      <c r="E573" s="1" t="s">
        <v>24</v>
      </c>
      <c r="F573" s="1" t="str">
        <f>IFERROR(__xludf.DUMMYFUNCTION("GOOGLETRANSLATE(E573, ""zh-CN"", ""en"")"),"City area")</f>
        <v>City area</v>
      </c>
      <c r="G573" s="1">
        <v>3.30601E11</v>
      </c>
    </row>
    <row r="574">
      <c r="A574" s="1" t="s">
        <v>487</v>
      </c>
      <c r="B574" s="1" t="str">
        <f>IFERROR(__xludf.DUMMYFUNCTION("GOOGLETRANSLATE(A500, ""zh-CN"", ""en"")"),"Shanghai")</f>
        <v>Shanghai</v>
      </c>
      <c r="C574" s="1" t="s">
        <v>493</v>
      </c>
      <c r="D574" s="1" t="str">
        <f>IFERROR(__xludf.DUMMYFUNCTION("GOOGLETRANSLATE(C574, ""zh-CN"", ""en"")"),"Shaoxing City")</f>
        <v>Shaoxing City</v>
      </c>
      <c r="E574" s="1" t="s">
        <v>546</v>
      </c>
      <c r="F574" s="1" t="str">
        <f>IFERROR(__xludf.DUMMYFUNCTION("GOOGLETRANSLATE(E574, ""zh-CN"", ""en"")"),"Vietnamese")</f>
        <v>Vietnamese</v>
      </c>
      <c r="G574" s="1">
        <v>3.30602E11</v>
      </c>
    </row>
    <row r="575">
      <c r="A575" s="1" t="s">
        <v>487</v>
      </c>
      <c r="B575" s="1" t="str">
        <f>IFERROR(__xludf.DUMMYFUNCTION("GOOGLETRANSLATE(A501, ""zh-CN"", ""en"")"),"Shanghai")</f>
        <v>Shanghai</v>
      </c>
      <c r="C575" s="1" t="s">
        <v>493</v>
      </c>
      <c r="D575" s="1" t="str">
        <f>IFERROR(__xludf.DUMMYFUNCTION("GOOGLETRANSLATE(C575, ""zh-CN"", ""en"")"),"Shaoxing City")</f>
        <v>Shaoxing City</v>
      </c>
      <c r="E575" s="1" t="s">
        <v>547</v>
      </c>
      <c r="F575" s="1" t="str">
        <f>IFERROR(__xludf.DUMMYFUNCTION("GOOGLETRANSLATE(E575, ""zh-CN"", ""en"")"),"Keqiao District")</f>
        <v>Keqiao District</v>
      </c>
      <c r="G575" s="1">
        <v>3.30603E11</v>
      </c>
    </row>
    <row r="576">
      <c r="A576" s="1" t="s">
        <v>487</v>
      </c>
      <c r="B576" s="1" t="str">
        <f>IFERROR(__xludf.DUMMYFUNCTION("GOOGLETRANSLATE(A502, ""zh-CN"", ""en"")"),"Shanghai")</f>
        <v>Shanghai</v>
      </c>
      <c r="C576" s="1" t="s">
        <v>493</v>
      </c>
      <c r="D576" s="1" t="str">
        <f>IFERROR(__xludf.DUMMYFUNCTION("GOOGLETRANSLATE(C576, ""zh-CN"", ""en"")"),"Shaoxing City")</f>
        <v>Shaoxing City</v>
      </c>
      <c r="E576" s="1" t="s">
        <v>548</v>
      </c>
      <c r="F576" s="1" t="str">
        <f>IFERROR(__xludf.DUMMYFUNCTION("GOOGLETRANSLATE(E576, ""zh-CN"", ""en"")"),"Shangyu District")</f>
        <v>Shangyu District</v>
      </c>
      <c r="G576" s="1">
        <v>3.30604E11</v>
      </c>
    </row>
    <row r="577">
      <c r="A577" s="1" t="s">
        <v>487</v>
      </c>
      <c r="B577" s="1" t="str">
        <f>IFERROR(__xludf.DUMMYFUNCTION("GOOGLETRANSLATE(A503, ""zh-CN"", ""en"")"),"Shanghai")</f>
        <v>Shanghai</v>
      </c>
      <c r="C577" s="1" t="s">
        <v>493</v>
      </c>
      <c r="D577" s="1" t="str">
        <f>IFERROR(__xludf.DUMMYFUNCTION("GOOGLETRANSLATE(C577, ""zh-CN"", ""en"")"),"Shaoxing City")</f>
        <v>Shaoxing City</v>
      </c>
      <c r="E577" s="1" t="s">
        <v>549</v>
      </c>
      <c r="F577" s="1" t="str">
        <f>IFERROR(__xludf.DUMMYFUNCTION("GOOGLETRANSLATE(E577, ""zh-CN"", ""en"")"),"Xinchang County")</f>
        <v>Xinchang County</v>
      </c>
      <c r="G577" s="1">
        <v>3.30624E11</v>
      </c>
    </row>
    <row r="578">
      <c r="A578" s="1" t="s">
        <v>487</v>
      </c>
      <c r="B578" s="1" t="str">
        <f>IFERROR(__xludf.DUMMYFUNCTION("GOOGLETRANSLATE(A504, ""zh-CN"", ""en"")"),"Shanghai")</f>
        <v>Shanghai</v>
      </c>
      <c r="C578" s="1" t="s">
        <v>493</v>
      </c>
      <c r="D578" s="1" t="str">
        <f>IFERROR(__xludf.DUMMYFUNCTION("GOOGLETRANSLATE(C578, ""zh-CN"", ""en"")"),"Shaoxing City")</f>
        <v>Shaoxing City</v>
      </c>
      <c r="E578" s="1" t="s">
        <v>550</v>
      </c>
      <c r="F578" s="1" t="str">
        <f>IFERROR(__xludf.DUMMYFUNCTION("GOOGLETRANSLATE(E578, ""zh-CN"", ""en"")"),"Zhuji")</f>
        <v>Zhuji</v>
      </c>
      <c r="G578" s="1">
        <v>3.30681E11</v>
      </c>
    </row>
    <row r="579">
      <c r="A579" s="1" t="s">
        <v>487</v>
      </c>
      <c r="B579" s="1" t="str">
        <f>IFERROR(__xludf.DUMMYFUNCTION("GOOGLETRANSLATE(A505, ""zh-CN"", ""en"")"),"Shanghai")</f>
        <v>Shanghai</v>
      </c>
      <c r="C579" s="1" t="s">
        <v>493</v>
      </c>
      <c r="D579" s="1" t="str">
        <f>IFERROR(__xludf.DUMMYFUNCTION("GOOGLETRANSLATE(C579, ""zh-CN"", ""en"")"),"Shaoxing City")</f>
        <v>Shaoxing City</v>
      </c>
      <c r="E579" s="1" t="s">
        <v>551</v>
      </c>
      <c r="F579" s="1" t="str">
        <f>IFERROR(__xludf.DUMMYFUNCTION("GOOGLETRANSLATE(E579, ""zh-CN"", ""en"")"),"Dazhou City")</f>
        <v>Dazhou City</v>
      </c>
      <c r="G579" s="1">
        <v>3.30683E11</v>
      </c>
    </row>
    <row r="580">
      <c r="A580" s="1" t="s">
        <v>487</v>
      </c>
      <c r="B580" s="1" t="str">
        <f>IFERROR(__xludf.DUMMYFUNCTION("GOOGLETRANSLATE(A506, ""zh-CN"", ""en"")"),"Shanghai")</f>
        <v>Shanghai</v>
      </c>
      <c r="C580" s="1" t="s">
        <v>494</v>
      </c>
      <c r="D580" s="1" t="str">
        <f>IFERROR(__xludf.DUMMYFUNCTION("GOOGLETRANSLATE(C580, ""zh-CN"", ""en"")"),"Jinhua City")</f>
        <v>Jinhua City</v>
      </c>
      <c r="E580" s="1" t="s">
        <v>24</v>
      </c>
      <c r="F580" s="1" t="str">
        <f>IFERROR(__xludf.DUMMYFUNCTION("GOOGLETRANSLATE(E580, ""zh-CN"", ""en"")"),"City area")</f>
        <v>City area</v>
      </c>
      <c r="G580" s="1">
        <v>3.30701E11</v>
      </c>
    </row>
    <row r="581">
      <c r="A581" s="1" t="s">
        <v>487</v>
      </c>
      <c r="B581" s="1" t="str">
        <f>IFERROR(__xludf.DUMMYFUNCTION("GOOGLETRANSLATE(A507, ""zh-CN"", ""en"")"),"Shanghai")</f>
        <v>Shanghai</v>
      </c>
      <c r="C581" s="1" t="s">
        <v>494</v>
      </c>
      <c r="D581" s="1" t="str">
        <f>IFERROR(__xludf.DUMMYFUNCTION("GOOGLETRANSLATE(C581, ""zh-CN"", ""en"")"),"Jinhua City")</f>
        <v>Jinhua City</v>
      </c>
      <c r="E581" s="1" t="s">
        <v>552</v>
      </c>
      <c r="F581" s="1" t="str">
        <f>IFERROR(__xludf.DUMMYFUNCTION("GOOGLETRANSLATE(E581, ""zh-CN"", ""en"")"),"Wucheng District")</f>
        <v>Wucheng District</v>
      </c>
      <c r="G581" s="1">
        <v>3.30702E11</v>
      </c>
    </row>
    <row r="582">
      <c r="A582" s="1" t="s">
        <v>487</v>
      </c>
      <c r="B582" s="1" t="str">
        <f>IFERROR(__xludf.DUMMYFUNCTION("GOOGLETRANSLATE(A508, ""zh-CN"", ""en"")"),"Shanghai")</f>
        <v>Shanghai</v>
      </c>
      <c r="C582" s="1" t="s">
        <v>494</v>
      </c>
      <c r="D582" s="1" t="str">
        <f>IFERROR(__xludf.DUMMYFUNCTION("GOOGLETRANSLATE(C582, ""zh-CN"", ""en"")"),"Jinhua City")</f>
        <v>Jinhua City</v>
      </c>
      <c r="E582" s="1" t="s">
        <v>553</v>
      </c>
      <c r="F582" s="1" t="str">
        <f>IFERROR(__xludf.DUMMYFUNCTION("GOOGLETRANSLATE(E582, ""zh-CN"", ""en"")"),"Jindong District")</f>
        <v>Jindong District</v>
      </c>
      <c r="G582" s="1">
        <v>3.30703E11</v>
      </c>
    </row>
    <row r="583">
      <c r="A583" s="1" t="s">
        <v>487</v>
      </c>
      <c r="B583" s="1" t="str">
        <f>IFERROR(__xludf.DUMMYFUNCTION("GOOGLETRANSLATE(A509, ""zh-CN"", ""en"")"),"Zhejiang Province")</f>
        <v>Zhejiang Province</v>
      </c>
      <c r="C583" s="1" t="s">
        <v>494</v>
      </c>
      <c r="D583" s="1" t="str">
        <f>IFERROR(__xludf.DUMMYFUNCTION("GOOGLETRANSLATE(C583, ""zh-CN"", ""en"")"),"Jinhua City")</f>
        <v>Jinhua City</v>
      </c>
      <c r="E583" s="1" t="s">
        <v>554</v>
      </c>
      <c r="F583" s="1" t="str">
        <f>IFERROR(__xludf.DUMMYFUNCTION("GOOGLETRANSLATE(E583, ""zh-CN"", ""en"")"),"Wuyi County")</f>
        <v>Wuyi County</v>
      </c>
      <c r="G583" s="1">
        <v>3.30723E11</v>
      </c>
    </row>
    <row r="584">
      <c r="A584" s="1" t="s">
        <v>487</v>
      </c>
      <c r="B584" s="1" t="str">
        <f>IFERROR(__xludf.DUMMYFUNCTION("GOOGLETRANSLATE(A510, ""zh-CN"", ""en"")"),"Zhejiang Province")</f>
        <v>Zhejiang Province</v>
      </c>
      <c r="C584" s="1" t="s">
        <v>494</v>
      </c>
      <c r="D584" s="1" t="str">
        <f>IFERROR(__xludf.DUMMYFUNCTION("GOOGLETRANSLATE(C584, ""zh-CN"", ""en"")"),"Jinhua City")</f>
        <v>Jinhua City</v>
      </c>
      <c r="E584" s="1" t="s">
        <v>555</v>
      </c>
      <c r="F584" s="1" t="str">
        <f>IFERROR(__xludf.DUMMYFUNCTION("GOOGLETRANSLATE(E584, ""zh-CN"", ""en"")"),"Pujiang County")</f>
        <v>Pujiang County</v>
      </c>
      <c r="G584" s="1">
        <v>3.30726E11</v>
      </c>
    </row>
    <row r="585">
      <c r="A585" s="1" t="s">
        <v>487</v>
      </c>
      <c r="B585" s="1" t="str">
        <f>IFERROR(__xludf.DUMMYFUNCTION("GOOGLETRANSLATE(A511, ""zh-CN"", ""en"")"),"Zhejiang Province")</f>
        <v>Zhejiang Province</v>
      </c>
      <c r="C585" s="1" t="s">
        <v>494</v>
      </c>
      <c r="D585" s="1" t="str">
        <f>IFERROR(__xludf.DUMMYFUNCTION("GOOGLETRANSLATE(C585, ""zh-CN"", ""en"")"),"Jinhua City")</f>
        <v>Jinhua City</v>
      </c>
      <c r="E585" s="1" t="s">
        <v>556</v>
      </c>
      <c r="F585" s="1" t="str">
        <f>IFERROR(__xludf.DUMMYFUNCTION("GOOGLETRANSLATE(E585, ""zh-CN"", ""en"")"),"Pan'an County")</f>
        <v>Pan'an County</v>
      </c>
      <c r="G585" s="1">
        <v>3.30727E11</v>
      </c>
    </row>
    <row r="586">
      <c r="A586" s="1" t="s">
        <v>487</v>
      </c>
      <c r="B586" s="1" t="str">
        <f>IFERROR(__xludf.DUMMYFUNCTION("GOOGLETRANSLATE(A512, ""zh-CN"", ""en"")"),"Zhejiang Province")</f>
        <v>Zhejiang Province</v>
      </c>
      <c r="C586" s="1" t="s">
        <v>494</v>
      </c>
      <c r="D586" s="1" t="str">
        <f>IFERROR(__xludf.DUMMYFUNCTION("GOOGLETRANSLATE(C586, ""zh-CN"", ""en"")"),"Jinhua City")</f>
        <v>Jinhua City</v>
      </c>
      <c r="E586" s="1" t="s">
        <v>557</v>
      </c>
      <c r="F586" s="1" t="str">
        <f>IFERROR(__xludf.DUMMYFUNCTION("GOOGLETRANSLATE(E586, ""zh-CN"", ""en"")"),"Lanxi City")</f>
        <v>Lanxi City</v>
      </c>
      <c r="G586" s="1">
        <v>3.30781E11</v>
      </c>
    </row>
    <row r="587">
      <c r="A587" s="1" t="s">
        <v>487</v>
      </c>
      <c r="B587" s="1" t="str">
        <f>IFERROR(__xludf.DUMMYFUNCTION("GOOGLETRANSLATE(A513, ""zh-CN"", ""en"")"),"Zhejiang Province")</f>
        <v>Zhejiang Province</v>
      </c>
      <c r="C587" s="1" t="s">
        <v>494</v>
      </c>
      <c r="D587" s="1" t="str">
        <f>IFERROR(__xludf.DUMMYFUNCTION("GOOGLETRANSLATE(C587, ""zh-CN"", ""en"")"),"Jinhua City")</f>
        <v>Jinhua City</v>
      </c>
      <c r="E587" s="1" t="s">
        <v>558</v>
      </c>
      <c r="F587" s="1" t="str">
        <f>IFERROR(__xludf.DUMMYFUNCTION("GOOGLETRANSLATE(E587, ""zh-CN"", ""en"")"),"Yiwu City")</f>
        <v>Yiwu City</v>
      </c>
      <c r="G587" s="1">
        <v>3.30782E11</v>
      </c>
    </row>
    <row r="588">
      <c r="A588" s="1" t="s">
        <v>487</v>
      </c>
      <c r="B588" s="1" t="str">
        <f>IFERROR(__xludf.DUMMYFUNCTION("GOOGLETRANSLATE(A514, ""zh-CN"", ""en"")"),"Zhejiang Province")</f>
        <v>Zhejiang Province</v>
      </c>
      <c r="C588" s="1" t="s">
        <v>494</v>
      </c>
      <c r="D588" s="1" t="str">
        <f>IFERROR(__xludf.DUMMYFUNCTION("GOOGLETRANSLATE(C588, ""zh-CN"", ""en"")"),"Jinhua City")</f>
        <v>Jinhua City</v>
      </c>
      <c r="E588" s="1" t="s">
        <v>559</v>
      </c>
      <c r="F588" s="1" t="str">
        <f>IFERROR(__xludf.DUMMYFUNCTION("GOOGLETRANSLATE(E588, ""zh-CN"", ""en"")"),"Dongyang")</f>
        <v>Dongyang</v>
      </c>
      <c r="G588" s="1">
        <v>3.30783E11</v>
      </c>
    </row>
    <row r="589">
      <c r="A589" s="1" t="s">
        <v>487</v>
      </c>
      <c r="B589" s="1" t="str">
        <f>IFERROR(__xludf.DUMMYFUNCTION("GOOGLETRANSLATE(A515, ""zh-CN"", ""en"")"),"Zhejiang Province")</f>
        <v>Zhejiang Province</v>
      </c>
      <c r="C589" s="1" t="s">
        <v>494</v>
      </c>
      <c r="D589" s="1" t="str">
        <f>IFERROR(__xludf.DUMMYFUNCTION("GOOGLETRANSLATE(C589, ""zh-CN"", ""en"")"),"Jinhua City")</f>
        <v>Jinhua City</v>
      </c>
      <c r="E589" s="1" t="s">
        <v>560</v>
      </c>
      <c r="F589" s="1" t="str">
        <f>IFERROR(__xludf.DUMMYFUNCTION("GOOGLETRANSLATE(E589, ""zh-CN"", ""en"")"),"Yongkang City")</f>
        <v>Yongkang City</v>
      </c>
      <c r="G589" s="1">
        <v>3.30784E11</v>
      </c>
    </row>
    <row r="590">
      <c r="A590" s="1" t="s">
        <v>487</v>
      </c>
      <c r="B590" s="1" t="str">
        <f>IFERROR(__xludf.DUMMYFUNCTION("GOOGLETRANSLATE(A516, ""zh-CN"", ""en"")"),"Zhejiang Province")</f>
        <v>Zhejiang Province</v>
      </c>
      <c r="C590" s="1" t="s">
        <v>495</v>
      </c>
      <c r="D590" s="1" t="str">
        <f>IFERROR(__xludf.DUMMYFUNCTION("GOOGLETRANSLATE(C590, ""zh-CN"", ""en"")"),"Luzhou")</f>
        <v>Luzhou</v>
      </c>
      <c r="E590" s="1" t="s">
        <v>24</v>
      </c>
      <c r="F590" s="1" t="str">
        <f>IFERROR(__xludf.DUMMYFUNCTION("GOOGLETRANSLATE(E590, ""zh-CN"", ""en"")"),"City area")</f>
        <v>City area</v>
      </c>
      <c r="G590" s="1">
        <v>3.30801E11</v>
      </c>
    </row>
    <row r="591">
      <c r="A591" s="1" t="s">
        <v>487</v>
      </c>
      <c r="B591" s="1" t="str">
        <f>IFERROR(__xludf.DUMMYFUNCTION("GOOGLETRANSLATE(A517, ""zh-CN"", ""en"")"),"Zhejiang Province")</f>
        <v>Zhejiang Province</v>
      </c>
      <c r="C591" s="1" t="s">
        <v>495</v>
      </c>
      <c r="D591" s="1" t="str">
        <f>IFERROR(__xludf.DUMMYFUNCTION("GOOGLETRANSLATE(C591, ""zh-CN"", ""en"")"),"Luzhou")</f>
        <v>Luzhou</v>
      </c>
      <c r="E591" s="1" t="s">
        <v>561</v>
      </c>
      <c r="F591" s="1" t="str">
        <f>IFERROR(__xludf.DUMMYFUNCTION("GOOGLETRANSLATE(E591, ""zh-CN"", ""en"")"),"Kecheng District")</f>
        <v>Kecheng District</v>
      </c>
      <c r="G591" s="1">
        <v>3.30802E11</v>
      </c>
    </row>
    <row r="592">
      <c r="A592" s="1" t="s">
        <v>487</v>
      </c>
      <c r="B592" s="1" t="str">
        <f>IFERROR(__xludf.DUMMYFUNCTION("GOOGLETRANSLATE(A518, ""zh-CN"", ""en"")"),"Zhejiang Province")</f>
        <v>Zhejiang Province</v>
      </c>
      <c r="C592" s="1" t="s">
        <v>495</v>
      </c>
      <c r="D592" s="1" t="str">
        <f>IFERROR(__xludf.DUMMYFUNCTION("GOOGLETRANSLATE(C592, ""zh-CN"", ""en"")"),"Luzhou")</f>
        <v>Luzhou</v>
      </c>
      <c r="E592" s="1" t="s">
        <v>562</v>
      </c>
      <c r="F592" s="1" t="str">
        <f>IFERROR(__xludf.DUMMYFUNCTION("GOOGLETRANSLATE(E592, ""zh-CN"", ""en"")"),"Lujiang District")</f>
        <v>Lujiang District</v>
      </c>
      <c r="G592" s="1">
        <v>3.30803E11</v>
      </c>
    </row>
    <row r="593">
      <c r="A593" s="1" t="s">
        <v>487</v>
      </c>
      <c r="B593" s="1" t="str">
        <f>IFERROR(__xludf.DUMMYFUNCTION("GOOGLETRANSLATE(A519, ""zh-CN"", ""en"")"),"Zhejiang Province")</f>
        <v>Zhejiang Province</v>
      </c>
      <c r="C593" s="1" t="s">
        <v>495</v>
      </c>
      <c r="D593" s="1" t="str">
        <f>IFERROR(__xludf.DUMMYFUNCTION("GOOGLETRANSLATE(C593, ""zh-CN"", ""en"")"),"Luzhou")</f>
        <v>Luzhou</v>
      </c>
      <c r="E593" s="1" t="s">
        <v>563</v>
      </c>
      <c r="F593" s="1" t="str">
        <f>IFERROR(__xludf.DUMMYFUNCTION("GOOGLETRANSLATE(E593, ""zh-CN"", ""en"")"),"Changshan County")</f>
        <v>Changshan County</v>
      </c>
      <c r="G593" s="1">
        <v>3.30822E11</v>
      </c>
    </row>
    <row r="594">
      <c r="A594" s="1" t="s">
        <v>487</v>
      </c>
      <c r="B594" s="1" t="str">
        <f>IFERROR(__xludf.DUMMYFUNCTION("GOOGLETRANSLATE(A520, ""zh-CN"", ""en"")"),"Zhejiang Province")</f>
        <v>Zhejiang Province</v>
      </c>
      <c r="C594" s="1" t="s">
        <v>495</v>
      </c>
      <c r="D594" s="1" t="str">
        <f>IFERROR(__xludf.DUMMYFUNCTION("GOOGLETRANSLATE(C594, ""zh-CN"", ""en"")"),"Luzhou")</f>
        <v>Luzhou</v>
      </c>
      <c r="E594" s="1" t="s">
        <v>564</v>
      </c>
      <c r="F594" s="1" t="str">
        <f>IFERROR(__xludf.DUMMYFUNCTION("GOOGLETRANSLATE(E594, ""zh-CN"", ""en"")"),"Kaihua County")</f>
        <v>Kaihua County</v>
      </c>
      <c r="G594" s="1">
        <v>3.30824E11</v>
      </c>
    </row>
    <row r="595">
      <c r="A595" s="1" t="s">
        <v>487</v>
      </c>
      <c r="B595" s="1" t="str">
        <f>IFERROR(__xludf.DUMMYFUNCTION("GOOGLETRANSLATE(A521, ""zh-CN"", ""en"")"),"Zhejiang Province")</f>
        <v>Zhejiang Province</v>
      </c>
      <c r="C595" s="1" t="s">
        <v>495</v>
      </c>
      <c r="D595" s="1" t="str">
        <f>IFERROR(__xludf.DUMMYFUNCTION("GOOGLETRANSLATE(C595, ""zh-CN"", ""en"")"),"Luzhou")</f>
        <v>Luzhou</v>
      </c>
      <c r="E595" s="1" t="s">
        <v>565</v>
      </c>
      <c r="F595" s="1" t="str">
        <f>IFERROR(__xludf.DUMMYFUNCTION("GOOGLETRANSLATE(E595, ""zh-CN"", ""en"")"),"Longyou County")</f>
        <v>Longyou County</v>
      </c>
      <c r="G595" s="1">
        <v>3.30825E11</v>
      </c>
    </row>
    <row r="596">
      <c r="A596" s="1" t="s">
        <v>487</v>
      </c>
      <c r="B596" s="1" t="str">
        <f>IFERROR(__xludf.DUMMYFUNCTION("GOOGLETRANSLATE(A522, ""zh-CN"", ""en"")"),"Zhejiang Province")</f>
        <v>Zhejiang Province</v>
      </c>
      <c r="C596" s="1" t="s">
        <v>495</v>
      </c>
      <c r="D596" s="1" t="str">
        <f>IFERROR(__xludf.DUMMYFUNCTION("GOOGLETRANSLATE(C596, ""zh-CN"", ""en"")"),"Luzhou")</f>
        <v>Luzhou</v>
      </c>
      <c r="E596" s="1" t="s">
        <v>566</v>
      </c>
      <c r="F596" s="1" t="str">
        <f>IFERROR(__xludf.DUMMYFUNCTION("GOOGLETRANSLATE(E596, ""zh-CN"", ""en"")"),"Jiangshan City")</f>
        <v>Jiangshan City</v>
      </c>
      <c r="G596" s="1">
        <v>3.30881E11</v>
      </c>
    </row>
    <row r="597">
      <c r="A597" s="1" t="s">
        <v>487</v>
      </c>
      <c r="B597" s="1" t="str">
        <f>IFERROR(__xludf.DUMMYFUNCTION("GOOGLETRANSLATE(A523, ""zh-CN"", ""en"")"),"Zhejiang Province")</f>
        <v>Zhejiang Province</v>
      </c>
      <c r="C597" s="1" t="s">
        <v>496</v>
      </c>
      <c r="D597" s="1" t="str">
        <f>IFERROR(__xludf.DUMMYFUNCTION("GOOGLETRANSLATE(C597, ""zh-CN"", ""en"")"),"Zhoushan City")</f>
        <v>Zhoushan City</v>
      </c>
      <c r="E597" s="1" t="s">
        <v>24</v>
      </c>
      <c r="F597" s="1" t="str">
        <f>IFERROR(__xludf.DUMMYFUNCTION("GOOGLETRANSLATE(E597, ""zh-CN"", ""en"")"),"City area")</f>
        <v>City area</v>
      </c>
      <c r="G597" s="1">
        <v>3.30901E11</v>
      </c>
    </row>
    <row r="598">
      <c r="A598" s="1" t="s">
        <v>487</v>
      </c>
      <c r="B598" s="1" t="str">
        <f>IFERROR(__xludf.DUMMYFUNCTION("GOOGLETRANSLATE(A524, ""zh-CN"", ""en"")"),"Zhejiang Province")</f>
        <v>Zhejiang Province</v>
      </c>
      <c r="C598" s="1" t="s">
        <v>496</v>
      </c>
      <c r="D598" s="1" t="str">
        <f>IFERROR(__xludf.DUMMYFUNCTION("GOOGLETRANSLATE(C598, ""zh-CN"", ""en"")"),"Zhoushan City")</f>
        <v>Zhoushan City</v>
      </c>
      <c r="E598" s="1" t="s">
        <v>567</v>
      </c>
      <c r="F598" s="1" t="str">
        <f>IFERROR(__xludf.DUMMYFUNCTION("GOOGLETRANSLATE(E598, ""zh-CN"", ""en"")"),"Dinghai District")</f>
        <v>Dinghai District</v>
      </c>
      <c r="G598" s="1">
        <v>3.30902E11</v>
      </c>
    </row>
    <row r="599">
      <c r="A599" s="1" t="s">
        <v>487</v>
      </c>
      <c r="B599" s="1" t="str">
        <f>IFERROR(__xludf.DUMMYFUNCTION("GOOGLETRANSLATE(A525, ""zh-CN"", ""en"")"),"Zhejiang Province")</f>
        <v>Zhejiang Province</v>
      </c>
      <c r="C599" s="1" t="s">
        <v>496</v>
      </c>
      <c r="D599" s="1" t="str">
        <f>IFERROR(__xludf.DUMMYFUNCTION("GOOGLETRANSLATE(C599, ""zh-CN"", ""en"")"),"Zhoushan City")</f>
        <v>Zhoushan City</v>
      </c>
      <c r="E599" s="1" t="s">
        <v>475</v>
      </c>
      <c r="F599" s="1" t="str">
        <f>IFERROR(__xludf.DUMMYFUNCTION("GOOGLETRANSLATE(E599, ""zh-CN"", ""en"")"),"Putuo District")</f>
        <v>Putuo District</v>
      </c>
      <c r="G599" s="1">
        <v>3.30903E11</v>
      </c>
    </row>
    <row r="600">
      <c r="A600" s="1" t="s">
        <v>487</v>
      </c>
      <c r="B600" s="1" t="str">
        <f>IFERROR(__xludf.DUMMYFUNCTION("GOOGLETRANSLATE(A526, ""zh-CN"", ""en"")"),"Zhejiang Province")</f>
        <v>Zhejiang Province</v>
      </c>
      <c r="C600" s="1" t="s">
        <v>496</v>
      </c>
      <c r="D600" s="1" t="str">
        <f>IFERROR(__xludf.DUMMYFUNCTION("GOOGLETRANSLATE(C600, ""zh-CN"", ""en"")"),"Zhoushan City")</f>
        <v>Zhoushan City</v>
      </c>
      <c r="E600" s="1" t="s">
        <v>568</v>
      </c>
      <c r="F600" s="1" t="str">
        <f>IFERROR(__xludf.DUMMYFUNCTION("GOOGLETRANSLATE(E600, ""zh-CN"", ""en"")"),"Daishan County")</f>
        <v>Daishan County</v>
      </c>
      <c r="G600" s="1">
        <v>3.30921E11</v>
      </c>
    </row>
    <row r="601">
      <c r="A601" s="1" t="s">
        <v>487</v>
      </c>
      <c r="B601" s="1" t="str">
        <f>IFERROR(__xludf.DUMMYFUNCTION("GOOGLETRANSLATE(A527, ""zh-CN"", ""en"")"),"Zhejiang Province")</f>
        <v>Zhejiang Province</v>
      </c>
      <c r="C601" s="1" t="s">
        <v>496</v>
      </c>
      <c r="D601" s="1" t="str">
        <f>IFERROR(__xludf.DUMMYFUNCTION("GOOGLETRANSLATE(C601, ""zh-CN"", ""en"")"),"Zhoushan City")</f>
        <v>Zhoushan City</v>
      </c>
      <c r="E601" s="1" t="s">
        <v>569</v>
      </c>
      <c r="F601" s="1" t="str">
        <f>IFERROR(__xludf.DUMMYFUNCTION("GOOGLETRANSLATE(E601, ""zh-CN"", ""en"")"),"Shengsi County")</f>
        <v>Shengsi County</v>
      </c>
      <c r="G601" s="1">
        <v>3.30922E11</v>
      </c>
    </row>
    <row r="602">
      <c r="A602" s="1" t="s">
        <v>487</v>
      </c>
      <c r="B602" s="1" t="str">
        <f>IFERROR(__xludf.DUMMYFUNCTION("GOOGLETRANSLATE(A528, ""zh-CN"", ""en"")"),"Zhejiang Province")</f>
        <v>Zhejiang Province</v>
      </c>
      <c r="C602" s="1" t="s">
        <v>497</v>
      </c>
      <c r="D602" s="1" t="str">
        <f>IFERROR(__xludf.DUMMYFUNCTION("GOOGLETRANSLATE(C602, ""zh-CN"", ""en"")"),"Taizhou")</f>
        <v>Taizhou</v>
      </c>
      <c r="E602" s="1" t="s">
        <v>24</v>
      </c>
      <c r="F602" s="1" t="str">
        <f>IFERROR(__xludf.DUMMYFUNCTION("GOOGLETRANSLATE(E602, ""zh-CN"", ""en"")"),"City area")</f>
        <v>City area</v>
      </c>
      <c r="G602" s="1">
        <v>3.31001E11</v>
      </c>
    </row>
    <row r="603">
      <c r="A603" s="1" t="s">
        <v>487</v>
      </c>
      <c r="B603" s="1" t="str">
        <f>IFERROR(__xludf.DUMMYFUNCTION("GOOGLETRANSLATE(A529, ""zh-CN"", ""en"")"),"Zhejiang Province")</f>
        <v>Zhejiang Province</v>
      </c>
      <c r="C603" s="1" t="s">
        <v>497</v>
      </c>
      <c r="D603" s="1" t="str">
        <f>IFERROR(__xludf.DUMMYFUNCTION("GOOGLETRANSLATE(C603, ""zh-CN"", ""en"")"),"Taizhou")</f>
        <v>Taizhou</v>
      </c>
      <c r="E603" s="1" t="s">
        <v>570</v>
      </c>
      <c r="F603" s="1" t="str">
        <f>IFERROR(__xludf.DUMMYFUNCTION("GOOGLETRANSLATE(E603, ""zh-CN"", ""en"")"),"Jiaojiang District")</f>
        <v>Jiaojiang District</v>
      </c>
      <c r="G603" s="1">
        <v>3.31002E11</v>
      </c>
    </row>
    <row r="604">
      <c r="A604" s="1" t="s">
        <v>487</v>
      </c>
      <c r="B604" s="1" t="str">
        <f>IFERROR(__xludf.DUMMYFUNCTION("GOOGLETRANSLATE(A530, ""zh-CN"", ""en"")"),"Zhejiang Province")</f>
        <v>Zhejiang Province</v>
      </c>
      <c r="C604" s="1" t="s">
        <v>497</v>
      </c>
      <c r="D604" s="1" t="str">
        <f>IFERROR(__xludf.DUMMYFUNCTION("GOOGLETRANSLATE(C604, ""zh-CN"", ""en"")"),"Taizhou")</f>
        <v>Taizhou</v>
      </c>
      <c r="E604" s="1" t="s">
        <v>571</v>
      </c>
      <c r="F604" s="1" t="str">
        <f>IFERROR(__xludf.DUMMYFUNCTION("GOOGLETRANSLATE(E604, ""zh-CN"", ""en"")"),"Huangyan District")</f>
        <v>Huangyan District</v>
      </c>
      <c r="G604" s="1">
        <v>3.31003E11</v>
      </c>
    </row>
    <row r="605">
      <c r="A605" s="1" t="s">
        <v>487</v>
      </c>
      <c r="B605" s="1" t="str">
        <f>IFERROR(__xludf.DUMMYFUNCTION("GOOGLETRANSLATE(A531, ""zh-CN"", ""en"")"),"Zhejiang Province")</f>
        <v>Zhejiang Province</v>
      </c>
      <c r="C605" s="1" t="s">
        <v>497</v>
      </c>
      <c r="D605" s="1" t="str">
        <f>IFERROR(__xludf.DUMMYFUNCTION("GOOGLETRANSLATE(C605, ""zh-CN"", ""en"")"),"Taizhou")</f>
        <v>Taizhou</v>
      </c>
      <c r="E605" s="1" t="s">
        <v>572</v>
      </c>
      <c r="F605" s="1" t="str">
        <f>IFERROR(__xludf.DUMMYFUNCTION("GOOGLETRANSLATE(E605, ""zh-CN"", ""en"")"),"Road and bridge area")</f>
        <v>Road and bridge area</v>
      </c>
      <c r="G605" s="1">
        <v>3.31004E11</v>
      </c>
    </row>
    <row r="606">
      <c r="A606" s="1" t="s">
        <v>487</v>
      </c>
      <c r="B606" s="1" t="str">
        <f>IFERROR(__xludf.DUMMYFUNCTION("GOOGLETRANSLATE(A532, ""zh-CN"", ""en"")"),"Zhejiang Province")</f>
        <v>Zhejiang Province</v>
      </c>
      <c r="C606" s="1" t="s">
        <v>497</v>
      </c>
      <c r="D606" s="1" t="str">
        <f>IFERROR(__xludf.DUMMYFUNCTION("GOOGLETRANSLATE(C606, ""zh-CN"", ""en"")"),"Taizhou")</f>
        <v>Taizhou</v>
      </c>
      <c r="E606" s="1" t="s">
        <v>573</v>
      </c>
      <c r="F606" s="1" t="str">
        <f>IFERROR(__xludf.DUMMYFUNCTION("GOOGLETRANSLATE(E606, ""zh-CN"", ""en"")"),"Sanmen County")</f>
        <v>Sanmen County</v>
      </c>
      <c r="G606" s="1">
        <v>3.31022E11</v>
      </c>
    </row>
    <row r="607">
      <c r="A607" s="1" t="s">
        <v>487</v>
      </c>
      <c r="B607" s="1" t="str">
        <f>IFERROR(__xludf.DUMMYFUNCTION("GOOGLETRANSLATE(A533, ""zh-CN"", ""en"")"),"Zhejiang Province")</f>
        <v>Zhejiang Province</v>
      </c>
      <c r="C607" s="1" t="s">
        <v>497</v>
      </c>
      <c r="D607" s="1" t="str">
        <f>IFERROR(__xludf.DUMMYFUNCTION("GOOGLETRANSLATE(C607, ""zh-CN"", ""en"")"),"Taizhou")</f>
        <v>Taizhou</v>
      </c>
      <c r="E607" s="1" t="s">
        <v>574</v>
      </c>
      <c r="F607" s="1" t="str">
        <f>IFERROR(__xludf.DUMMYFUNCTION("GOOGLETRANSLATE(E607, ""zh-CN"", ""en"")"),"Tiantai County")</f>
        <v>Tiantai County</v>
      </c>
      <c r="G607" s="1">
        <v>3.31023E11</v>
      </c>
    </row>
    <row r="608">
      <c r="A608" s="1" t="s">
        <v>487</v>
      </c>
      <c r="B608" s="1" t="str">
        <f>IFERROR(__xludf.DUMMYFUNCTION("GOOGLETRANSLATE(A534, ""zh-CN"", ""en"")"),"Zhejiang Province")</f>
        <v>Zhejiang Province</v>
      </c>
      <c r="C608" s="1" t="s">
        <v>497</v>
      </c>
      <c r="D608" s="1" t="str">
        <f>IFERROR(__xludf.DUMMYFUNCTION("GOOGLETRANSLATE(C608, ""zh-CN"", ""en"")"),"Taizhou")</f>
        <v>Taizhou</v>
      </c>
      <c r="E608" s="1" t="s">
        <v>575</v>
      </c>
      <c r="F608" s="1" t="str">
        <f>IFERROR(__xludf.DUMMYFUNCTION("GOOGLETRANSLATE(E608, ""zh-CN"", ""en"")"),"Xianju County")</f>
        <v>Xianju County</v>
      </c>
      <c r="G608" s="1">
        <v>3.31024E11</v>
      </c>
    </row>
    <row r="609">
      <c r="A609" s="1" t="s">
        <v>487</v>
      </c>
      <c r="B609" s="1" t="str">
        <f>IFERROR(__xludf.DUMMYFUNCTION("GOOGLETRANSLATE(A535, ""zh-CN"", ""en"")"),"Zhejiang Province")</f>
        <v>Zhejiang Province</v>
      </c>
      <c r="C609" s="1" t="s">
        <v>497</v>
      </c>
      <c r="D609" s="1" t="str">
        <f>IFERROR(__xludf.DUMMYFUNCTION("GOOGLETRANSLATE(C609, ""zh-CN"", ""en"")"),"Taizhou")</f>
        <v>Taizhou</v>
      </c>
      <c r="E609" s="1" t="s">
        <v>576</v>
      </c>
      <c r="F609" s="1" t="str">
        <f>IFERROR(__xludf.DUMMYFUNCTION("GOOGLETRANSLATE(E609, ""zh-CN"", ""en"")"),"Wenling City")</f>
        <v>Wenling City</v>
      </c>
      <c r="G609" s="1">
        <v>3.31081E11</v>
      </c>
    </row>
    <row r="610">
      <c r="A610" s="1" t="s">
        <v>487</v>
      </c>
      <c r="B610" s="1" t="str">
        <f>IFERROR(__xludf.DUMMYFUNCTION("GOOGLETRANSLATE(A536, ""zh-CN"", ""en"")"),"Zhejiang Province")</f>
        <v>Zhejiang Province</v>
      </c>
      <c r="C610" s="1" t="s">
        <v>497</v>
      </c>
      <c r="D610" s="1" t="str">
        <f>IFERROR(__xludf.DUMMYFUNCTION("GOOGLETRANSLATE(C610, ""zh-CN"", ""en"")"),"Taizhou")</f>
        <v>Taizhou</v>
      </c>
      <c r="E610" s="1" t="s">
        <v>577</v>
      </c>
      <c r="F610" s="1" t="str">
        <f>IFERROR(__xludf.DUMMYFUNCTION("GOOGLETRANSLATE(E610, ""zh-CN"", ""en"")"),"Linhai City")</f>
        <v>Linhai City</v>
      </c>
      <c r="G610" s="1">
        <v>3.31082E11</v>
      </c>
    </row>
    <row r="611">
      <c r="A611" s="1" t="s">
        <v>487</v>
      </c>
      <c r="B611" s="1" t="str">
        <f>IFERROR(__xludf.DUMMYFUNCTION("GOOGLETRANSLATE(A537, ""zh-CN"", ""en"")"),"Zhejiang Province")</f>
        <v>Zhejiang Province</v>
      </c>
      <c r="C611" s="1" t="s">
        <v>497</v>
      </c>
      <c r="D611" s="1" t="str">
        <f>IFERROR(__xludf.DUMMYFUNCTION("GOOGLETRANSLATE(C611, ""zh-CN"", ""en"")"),"Taizhou")</f>
        <v>Taizhou</v>
      </c>
      <c r="E611" s="1" t="s">
        <v>578</v>
      </c>
      <c r="F611" s="1" t="str">
        <f>IFERROR(__xludf.DUMMYFUNCTION("GOOGLETRANSLATE(E611, ""zh-CN"", ""en"")"),"Yuhuan City")</f>
        <v>Yuhuan City</v>
      </c>
      <c r="G611" s="1">
        <v>3.31083E11</v>
      </c>
    </row>
    <row r="612">
      <c r="A612" s="1" t="s">
        <v>487</v>
      </c>
      <c r="B612" s="1" t="str">
        <f>IFERROR(__xludf.DUMMYFUNCTION("GOOGLETRANSLATE(A538, ""zh-CN"", ""en"")"),"Zhejiang Province")</f>
        <v>Zhejiang Province</v>
      </c>
      <c r="C612" s="1" t="s">
        <v>498</v>
      </c>
      <c r="D612" s="1" t="str">
        <f>IFERROR(__xludf.DUMMYFUNCTION("GOOGLETRANSLATE(C612, ""zh-CN"", ""en"")"),"Lishui City")</f>
        <v>Lishui City</v>
      </c>
      <c r="E612" s="1" t="s">
        <v>24</v>
      </c>
      <c r="F612" s="1" t="str">
        <f>IFERROR(__xludf.DUMMYFUNCTION("GOOGLETRANSLATE(E612, ""zh-CN"", ""en"")"),"City area")</f>
        <v>City area</v>
      </c>
      <c r="G612" s="1">
        <v>3.31101E11</v>
      </c>
    </row>
    <row r="613">
      <c r="A613" s="1" t="s">
        <v>487</v>
      </c>
      <c r="B613" s="1" t="str">
        <f>IFERROR(__xludf.DUMMYFUNCTION("GOOGLETRANSLATE(A539, ""zh-CN"", ""en"")"),"Zhejiang Province")</f>
        <v>Zhejiang Province</v>
      </c>
      <c r="C613" s="1" t="s">
        <v>498</v>
      </c>
      <c r="D613" s="1" t="str">
        <f>IFERROR(__xludf.DUMMYFUNCTION("GOOGLETRANSLATE(C613, ""zh-CN"", ""en"")"),"Lishui City")</f>
        <v>Lishui City</v>
      </c>
      <c r="E613" s="1" t="s">
        <v>579</v>
      </c>
      <c r="F613" s="1" t="str">
        <f>IFERROR(__xludf.DUMMYFUNCTION("GOOGLETRANSLATE(E613, ""zh-CN"", ""en"")"),"Liandu District")</f>
        <v>Liandu District</v>
      </c>
      <c r="G613" s="1">
        <v>3.31102E11</v>
      </c>
    </row>
    <row r="614">
      <c r="A614" s="1" t="s">
        <v>487</v>
      </c>
      <c r="B614" s="1" t="str">
        <f>IFERROR(__xludf.DUMMYFUNCTION("GOOGLETRANSLATE(A540, ""zh-CN"", ""en"")"),"Zhejiang Province")</f>
        <v>Zhejiang Province</v>
      </c>
      <c r="C614" s="1" t="s">
        <v>498</v>
      </c>
      <c r="D614" s="1" t="str">
        <f>IFERROR(__xludf.DUMMYFUNCTION("GOOGLETRANSLATE(C614, ""zh-CN"", ""en"")"),"Lishui City")</f>
        <v>Lishui City</v>
      </c>
      <c r="E614" s="1" t="s">
        <v>580</v>
      </c>
      <c r="F614" s="1" t="str">
        <f>IFERROR(__xludf.DUMMYFUNCTION("GOOGLETRANSLATE(E614, ""zh-CN"", ""en"")"),"Qingtian County")</f>
        <v>Qingtian County</v>
      </c>
      <c r="G614" s="1">
        <v>3.31121E11</v>
      </c>
    </row>
    <row r="615">
      <c r="A615" s="1" t="s">
        <v>487</v>
      </c>
      <c r="B615" s="1" t="str">
        <f>IFERROR(__xludf.DUMMYFUNCTION("GOOGLETRANSLATE(A541, ""zh-CN"", ""en"")"),"Zhejiang Province")</f>
        <v>Zhejiang Province</v>
      </c>
      <c r="C615" s="1" t="s">
        <v>498</v>
      </c>
      <c r="D615" s="1" t="str">
        <f>IFERROR(__xludf.DUMMYFUNCTION("GOOGLETRANSLATE(C615, ""zh-CN"", ""en"")"),"Lishui City")</f>
        <v>Lishui City</v>
      </c>
      <c r="E615" s="1" t="s">
        <v>581</v>
      </c>
      <c r="F615" s="1" t="str">
        <f>IFERROR(__xludf.DUMMYFUNCTION("GOOGLETRANSLATE(E615, ""zh-CN"", ""en"")"),"Yiyun County")</f>
        <v>Yiyun County</v>
      </c>
      <c r="G615" s="1">
        <v>3.31122E11</v>
      </c>
    </row>
    <row r="616">
      <c r="A616" s="1" t="s">
        <v>487</v>
      </c>
      <c r="B616" s="1" t="str">
        <f>IFERROR(__xludf.DUMMYFUNCTION("GOOGLETRANSLATE(A542, ""zh-CN"", ""en"")"),"Zhejiang Province")</f>
        <v>Zhejiang Province</v>
      </c>
      <c r="C616" s="1" t="s">
        <v>498</v>
      </c>
      <c r="D616" s="1" t="str">
        <f>IFERROR(__xludf.DUMMYFUNCTION("GOOGLETRANSLATE(C616, ""zh-CN"", ""en"")"),"Lishui City")</f>
        <v>Lishui City</v>
      </c>
      <c r="E616" s="1" t="s">
        <v>582</v>
      </c>
      <c r="F616" s="1" t="str">
        <f>IFERROR(__xludf.DUMMYFUNCTION("GOOGLETRANSLATE(E616, ""zh-CN"", ""en"")"),"Suichang County")</f>
        <v>Suichang County</v>
      </c>
      <c r="G616" s="1">
        <v>3.31123E11</v>
      </c>
    </row>
    <row r="617">
      <c r="A617" s="1" t="s">
        <v>487</v>
      </c>
      <c r="B617" s="1" t="str">
        <f>IFERROR(__xludf.DUMMYFUNCTION("GOOGLETRANSLATE(A543, ""zh-CN"", ""en"")"),"Zhejiang Province")</f>
        <v>Zhejiang Province</v>
      </c>
      <c r="C617" s="1" t="s">
        <v>498</v>
      </c>
      <c r="D617" s="1" t="str">
        <f>IFERROR(__xludf.DUMMYFUNCTION("GOOGLETRANSLATE(C617, ""zh-CN"", ""en"")"),"Lishui City")</f>
        <v>Lishui City</v>
      </c>
      <c r="E617" s="1" t="s">
        <v>583</v>
      </c>
      <c r="F617" s="1" t="str">
        <f>IFERROR(__xludf.DUMMYFUNCTION("GOOGLETRANSLATE(E617, ""zh-CN"", ""en"")"),"Songyang County")</f>
        <v>Songyang County</v>
      </c>
      <c r="G617" s="1">
        <v>3.31124E11</v>
      </c>
    </row>
    <row r="618">
      <c r="A618" s="1" t="s">
        <v>487</v>
      </c>
      <c r="B618" s="1" t="str">
        <f>IFERROR(__xludf.DUMMYFUNCTION("GOOGLETRANSLATE(A544, ""zh-CN"", ""en"")"),"Zhejiang Province")</f>
        <v>Zhejiang Province</v>
      </c>
      <c r="C618" s="1" t="s">
        <v>498</v>
      </c>
      <c r="D618" s="1" t="str">
        <f>IFERROR(__xludf.DUMMYFUNCTION("GOOGLETRANSLATE(C618, ""zh-CN"", ""en"")"),"Lishui City")</f>
        <v>Lishui City</v>
      </c>
      <c r="E618" s="1" t="s">
        <v>584</v>
      </c>
      <c r="F618" s="1" t="str">
        <f>IFERROR(__xludf.DUMMYFUNCTION("GOOGLETRANSLATE(E618, ""zh-CN"", ""en"")"),"Yunhe County")</f>
        <v>Yunhe County</v>
      </c>
      <c r="G618" s="1">
        <v>3.31125E11</v>
      </c>
    </row>
    <row r="619">
      <c r="A619" s="1" t="s">
        <v>487</v>
      </c>
      <c r="B619" s="1" t="str">
        <f>IFERROR(__xludf.DUMMYFUNCTION("GOOGLETRANSLATE(A545, ""zh-CN"", ""en"")"),"Zhejiang Province")</f>
        <v>Zhejiang Province</v>
      </c>
      <c r="C619" s="1" t="s">
        <v>498</v>
      </c>
      <c r="D619" s="1" t="str">
        <f>IFERROR(__xludf.DUMMYFUNCTION("GOOGLETRANSLATE(C619, ""zh-CN"", ""en"")"),"Lishui City")</f>
        <v>Lishui City</v>
      </c>
      <c r="E619" s="1" t="s">
        <v>585</v>
      </c>
      <c r="F619" s="1" t="str">
        <f>IFERROR(__xludf.DUMMYFUNCTION("GOOGLETRANSLATE(E619, ""zh-CN"", ""en"")"),"Qingyuan County")</f>
        <v>Qingyuan County</v>
      </c>
      <c r="G619" s="1">
        <v>3.31126E11</v>
      </c>
    </row>
    <row r="620">
      <c r="A620" s="1" t="s">
        <v>487</v>
      </c>
      <c r="B620" s="1" t="str">
        <f>IFERROR(__xludf.DUMMYFUNCTION("GOOGLETRANSLATE(A546, ""zh-CN"", ""en"")"),"Zhejiang Province")</f>
        <v>Zhejiang Province</v>
      </c>
      <c r="C620" s="1" t="s">
        <v>498</v>
      </c>
      <c r="D620" s="1" t="str">
        <f>IFERROR(__xludf.DUMMYFUNCTION("GOOGLETRANSLATE(C620, ""zh-CN"", ""en"")"),"Lishui City")</f>
        <v>Lishui City</v>
      </c>
      <c r="E620" s="1" t="s">
        <v>586</v>
      </c>
      <c r="F620" s="1" t="str">
        <f>IFERROR(__xludf.DUMMYFUNCTION("GOOGLETRANSLATE(E620, ""zh-CN"", ""en"")"),"Jingning Dai Autonomous County")</f>
        <v>Jingning Dai Autonomous County</v>
      </c>
      <c r="G620" s="1">
        <v>3.31127E11</v>
      </c>
    </row>
    <row r="621">
      <c r="A621" s="1" t="s">
        <v>487</v>
      </c>
      <c r="B621" s="1" t="str">
        <f>IFERROR(__xludf.DUMMYFUNCTION("GOOGLETRANSLATE(A547, ""zh-CN"", ""en"")"),"Zhejiang Province")</f>
        <v>Zhejiang Province</v>
      </c>
      <c r="C621" s="1" t="s">
        <v>498</v>
      </c>
      <c r="D621" s="1" t="str">
        <f>IFERROR(__xludf.DUMMYFUNCTION("GOOGLETRANSLATE(C621, ""zh-CN"", ""en"")"),"Lishui City")</f>
        <v>Lishui City</v>
      </c>
      <c r="E621" s="1" t="s">
        <v>587</v>
      </c>
      <c r="F621" s="1" t="str">
        <f>IFERROR(__xludf.DUMMYFUNCTION("GOOGLETRANSLATE(E621, ""zh-CN"", ""en"")"),"Longquan City")</f>
        <v>Longquan City</v>
      </c>
      <c r="G621" s="1">
        <v>3.31181E11</v>
      </c>
    </row>
    <row r="622">
      <c r="A622" s="1" t="s">
        <v>588</v>
      </c>
      <c r="B622" s="1" t="str">
        <f>IFERROR(__xludf.DUMMYFUNCTION("GOOGLETRANSLATE(A548, ""zh-CN"", ""en"")"),"Zhejiang Province")</f>
        <v>Zhejiang Province</v>
      </c>
      <c r="C622" s="1" t="s">
        <v>8</v>
      </c>
      <c r="D622" s="1" t="str">
        <f>IFERROR(__xludf.DUMMYFUNCTION("GOOGLETRANSLATE(C622, ""zh-CN"", ""en"")"),"Na")</f>
        <v>Na</v>
      </c>
      <c r="E622" s="1" t="s">
        <v>8</v>
      </c>
      <c r="F622" s="1" t="str">
        <f>IFERROR(__xludf.DUMMYFUNCTION("GOOGLETRANSLATE(E622, ""zh-CN"", ""en"")"),"Na")</f>
        <v>Na</v>
      </c>
      <c r="G622" s="1">
        <v>34.0</v>
      </c>
    </row>
    <row r="623">
      <c r="A623" s="1" t="s">
        <v>588</v>
      </c>
      <c r="B623" s="1" t="str">
        <f>IFERROR(__xludf.DUMMYFUNCTION("GOOGLETRANSLATE(A549, ""zh-CN"", ""en"")"),"Zhejiang Province")</f>
        <v>Zhejiang Province</v>
      </c>
      <c r="C623" s="1" t="s">
        <v>589</v>
      </c>
      <c r="D623" s="1" t="str">
        <f>IFERROR(__xludf.DUMMYFUNCTION("GOOGLETRANSLATE(C623, ""zh-CN"", ""en"")"),"Hefei City")</f>
        <v>Hefei City</v>
      </c>
      <c r="E623" s="1" t="s">
        <v>8</v>
      </c>
      <c r="F623" s="1" t="str">
        <f>IFERROR(__xludf.DUMMYFUNCTION("GOOGLETRANSLATE(E623, ""zh-CN"", ""en"")"),"Na")</f>
        <v>Na</v>
      </c>
      <c r="G623" s="1">
        <v>3.401E11</v>
      </c>
    </row>
    <row r="624">
      <c r="A624" s="1" t="s">
        <v>588</v>
      </c>
      <c r="B624" s="1" t="str">
        <f>IFERROR(__xludf.DUMMYFUNCTION("GOOGLETRANSLATE(A550, ""zh-CN"", ""en"")"),"Zhejiang Province")</f>
        <v>Zhejiang Province</v>
      </c>
      <c r="C624" s="1" t="s">
        <v>590</v>
      </c>
      <c r="D624" s="1" t="str">
        <f>IFERROR(__xludf.DUMMYFUNCTION("GOOGLETRANSLATE(C624, ""zh-CN"", ""en"")"),"Wuhu")</f>
        <v>Wuhu</v>
      </c>
      <c r="E624" s="1" t="s">
        <v>8</v>
      </c>
      <c r="F624" s="1" t="str">
        <f>IFERROR(__xludf.DUMMYFUNCTION("GOOGLETRANSLATE(E624, ""zh-CN"", ""en"")"),"Na")</f>
        <v>Na</v>
      </c>
      <c r="G624" s="1">
        <v>3.402E11</v>
      </c>
    </row>
    <row r="625">
      <c r="A625" s="1" t="s">
        <v>588</v>
      </c>
      <c r="B625" s="1" t="str">
        <f>IFERROR(__xludf.DUMMYFUNCTION("GOOGLETRANSLATE(A551, ""zh-CN"", ""en"")"),"Zhejiang Province")</f>
        <v>Zhejiang Province</v>
      </c>
      <c r="C625" s="1" t="s">
        <v>591</v>
      </c>
      <c r="D625" s="1" t="str">
        <f>IFERROR(__xludf.DUMMYFUNCTION("GOOGLETRANSLATE(C625, ""zh-CN"", ""en"")"),"Bengbu")</f>
        <v>Bengbu</v>
      </c>
      <c r="E625" s="1" t="s">
        <v>8</v>
      </c>
      <c r="F625" s="1" t="str">
        <f>IFERROR(__xludf.DUMMYFUNCTION("GOOGLETRANSLATE(E625, ""zh-CN"", ""en"")"),"Na")</f>
        <v>Na</v>
      </c>
      <c r="G625" s="1">
        <v>3.403E11</v>
      </c>
    </row>
    <row r="626">
      <c r="A626" s="1" t="s">
        <v>588</v>
      </c>
      <c r="B626" s="1" t="str">
        <f>IFERROR(__xludf.DUMMYFUNCTION("GOOGLETRANSLATE(A552, ""zh-CN"", ""en"")"),"Zhejiang Province")</f>
        <v>Zhejiang Province</v>
      </c>
      <c r="C626" s="1" t="s">
        <v>592</v>
      </c>
      <c r="D626" s="1" t="str">
        <f>IFERROR(__xludf.DUMMYFUNCTION("GOOGLETRANSLATE(C626, ""zh-CN"", ""en"")"),"Huainan City")</f>
        <v>Huainan City</v>
      </c>
      <c r="E626" s="1" t="s">
        <v>8</v>
      </c>
      <c r="F626" s="1" t="str">
        <f>IFERROR(__xludf.DUMMYFUNCTION("GOOGLETRANSLATE(E626, ""zh-CN"", ""en"")"),"Na")</f>
        <v>Na</v>
      </c>
      <c r="G626" s="1">
        <v>3.404E11</v>
      </c>
    </row>
    <row r="627">
      <c r="A627" s="1" t="s">
        <v>588</v>
      </c>
      <c r="B627" s="1" t="str">
        <f>IFERROR(__xludf.DUMMYFUNCTION("GOOGLETRANSLATE(A553, ""zh-CN"", ""en"")"),"Zhejiang Province")</f>
        <v>Zhejiang Province</v>
      </c>
      <c r="C627" s="1" t="s">
        <v>593</v>
      </c>
      <c r="D627" s="1" t="str">
        <f>IFERROR(__xludf.DUMMYFUNCTION("GOOGLETRANSLATE(C627, ""zh-CN"", ""en"")"),"Ma'anshan City")</f>
        <v>Ma'anshan City</v>
      </c>
      <c r="E627" s="1" t="s">
        <v>8</v>
      </c>
      <c r="F627" s="1" t="str">
        <f>IFERROR(__xludf.DUMMYFUNCTION("GOOGLETRANSLATE(E627, ""zh-CN"", ""en"")"),"Na")</f>
        <v>Na</v>
      </c>
      <c r="G627" s="1">
        <v>3.405E11</v>
      </c>
    </row>
    <row r="628">
      <c r="A628" s="1" t="s">
        <v>588</v>
      </c>
      <c r="B628" s="1" t="str">
        <f>IFERROR(__xludf.DUMMYFUNCTION("GOOGLETRANSLATE(A554, ""zh-CN"", ""en"")"),"Zhejiang Province")</f>
        <v>Zhejiang Province</v>
      </c>
      <c r="C628" s="1" t="s">
        <v>594</v>
      </c>
      <c r="D628" s="1" t="str">
        <f>IFERROR(__xludf.DUMMYFUNCTION("GOOGLETRANSLATE(C628, ""zh-CN"", ""en"")"),"Huaibei City")</f>
        <v>Huaibei City</v>
      </c>
      <c r="E628" s="1" t="s">
        <v>8</v>
      </c>
      <c r="F628" s="1" t="str">
        <f>IFERROR(__xludf.DUMMYFUNCTION("GOOGLETRANSLATE(E628, ""zh-CN"", ""en"")"),"Na")</f>
        <v>Na</v>
      </c>
      <c r="G628" s="1">
        <v>3.406E11</v>
      </c>
    </row>
    <row r="629">
      <c r="A629" s="1" t="s">
        <v>588</v>
      </c>
      <c r="B629" s="1" t="str">
        <f>IFERROR(__xludf.DUMMYFUNCTION("GOOGLETRANSLATE(A555, ""zh-CN"", ""en"")"),"Zhejiang Province")</f>
        <v>Zhejiang Province</v>
      </c>
      <c r="C629" s="1" t="s">
        <v>595</v>
      </c>
      <c r="D629" s="1" t="str">
        <f>IFERROR(__xludf.DUMMYFUNCTION("GOOGLETRANSLATE(C629, ""zh-CN"", ""en"")"),"Tongling City")</f>
        <v>Tongling City</v>
      </c>
      <c r="E629" s="1" t="s">
        <v>8</v>
      </c>
      <c r="F629" s="1" t="str">
        <f>IFERROR(__xludf.DUMMYFUNCTION("GOOGLETRANSLATE(E629, ""zh-CN"", ""en"")"),"Na")</f>
        <v>Na</v>
      </c>
      <c r="G629" s="1">
        <v>3.407E11</v>
      </c>
    </row>
    <row r="630">
      <c r="A630" s="1" t="s">
        <v>588</v>
      </c>
      <c r="B630" s="1" t="str">
        <f>IFERROR(__xludf.DUMMYFUNCTION("GOOGLETRANSLATE(A556, ""zh-CN"", ""en"")"),"Zhejiang Province")</f>
        <v>Zhejiang Province</v>
      </c>
      <c r="C630" s="1" t="s">
        <v>596</v>
      </c>
      <c r="D630" s="1" t="str">
        <f>IFERROR(__xludf.DUMMYFUNCTION("GOOGLETRANSLATE(C630, ""zh-CN"", ""en"")"),"Anqing City")</f>
        <v>Anqing City</v>
      </c>
      <c r="E630" s="1" t="s">
        <v>8</v>
      </c>
      <c r="F630" s="1" t="str">
        <f>IFERROR(__xludf.DUMMYFUNCTION("GOOGLETRANSLATE(E630, ""zh-CN"", ""en"")"),"Na")</f>
        <v>Na</v>
      </c>
      <c r="G630" s="1">
        <v>3.408E11</v>
      </c>
    </row>
    <row r="631">
      <c r="A631" s="1" t="s">
        <v>588</v>
      </c>
      <c r="B631" s="1" t="str">
        <f>IFERROR(__xludf.DUMMYFUNCTION("GOOGLETRANSLATE(A557, ""zh-CN"", ""en"")"),"Zhejiang Province")</f>
        <v>Zhejiang Province</v>
      </c>
      <c r="C631" s="1" t="s">
        <v>597</v>
      </c>
      <c r="D631" s="1" t="str">
        <f>IFERROR(__xludf.DUMMYFUNCTION("GOOGLETRANSLATE(C631, ""zh-CN"", ""en"")"),"Huangshan City")</f>
        <v>Huangshan City</v>
      </c>
      <c r="E631" s="1" t="s">
        <v>8</v>
      </c>
      <c r="F631" s="1" t="str">
        <f>IFERROR(__xludf.DUMMYFUNCTION("GOOGLETRANSLATE(E631, ""zh-CN"", ""en"")"),"Na")</f>
        <v>Na</v>
      </c>
      <c r="G631" s="1">
        <v>3.41E11</v>
      </c>
    </row>
    <row r="632">
      <c r="A632" s="1" t="s">
        <v>588</v>
      </c>
      <c r="B632" s="1" t="str">
        <f>IFERROR(__xludf.DUMMYFUNCTION("GOOGLETRANSLATE(A558, ""zh-CN"", ""en"")"),"Zhejiang Province")</f>
        <v>Zhejiang Province</v>
      </c>
      <c r="C632" s="1" t="s">
        <v>598</v>
      </c>
      <c r="D632" s="1" t="str">
        <f>IFERROR(__xludf.DUMMYFUNCTION("GOOGLETRANSLATE(C632, ""zh-CN"", ""en"")"),"Luzhou City")</f>
        <v>Luzhou City</v>
      </c>
      <c r="E632" s="1" t="s">
        <v>8</v>
      </c>
      <c r="F632" s="1" t="str">
        <f>IFERROR(__xludf.DUMMYFUNCTION("GOOGLETRANSLATE(E632, ""zh-CN"", ""en"")"),"Na")</f>
        <v>Na</v>
      </c>
      <c r="G632" s="1">
        <v>3.411E11</v>
      </c>
    </row>
    <row r="633">
      <c r="A633" s="1" t="s">
        <v>588</v>
      </c>
      <c r="B633" s="1" t="str">
        <f>IFERROR(__xludf.DUMMYFUNCTION("GOOGLETRANSLATE(A559, ""zh-CN"", ""en"")"),"Zhejiang Province")</f>
        <v>Zhejiang Province</v>
      </c>
      <c r="C633" s="1" t="s">
        <v>599</v>
      </c>
      <c r="D633" s="1" t="str">
        <f>IFERROR(__xludf.DUMMYFUNCTION("GOOGLETRANSLATE(C633, ""zh-CN"", ""en"")"),"Fuyang City")</f>
        <v>Fuyang City</v>
      </c>
      <c r="E633" s="1" t="s">
        <v>8</v>
      </c>
      <c r="F633" s="1" t="str">
        <f>IFERROR(__xludf.DUMMYFUNCTION("GOOGLETRANSLATE(E633, ""zh-CN"", ""en"")"),"Na")</f>
        <v>Na</v>
      </c>
      <c r="G633" s="1">
        <v>3.412E11</v>
      </c>
    </row>
    <row r="634">
      <c r="A634" s="1" t="s">
        <v>588</v>
      </c>
      <c r="B634" s="1" t="str">
        <f>IFERROR(__xludf.DUMMYFUNCTION("GOOGLETRANSLATE(A560, ""zh-CN"", ""en"")"),"Zhejiang Province")</f>
        <v>Zhejiang Province</v>
      </c>
      <c r="C634" s="1" t="s">
        <v>600</v>
      </c>
      <c r="D634" s="1" t="str">
        <f>IFERROR(__xludf.DUMMYFUNCTION("GOOGLETRANSLATE(C634, ""zh-CN"", ""en"")"),"Suzhou")</f>
        <v>Suzhou</v>
      </c>
      <c r="E634" s="1" t="s">
        <v>8</v>
      </c>
      <c r="F634" s="1" t="str">
        <f>IFERROR(__xludf.DUMMYFUNCTION("GOOGLETRANSLATE(E634, ""zh-CN"", ""en"")"),"Na")</f>
        <v>Na</v>
      </c>
      <c r="G634" s="1">
        <v>3.413E11</v>
      </c>
    </row>
    <row r="635">
      <c r="A635" s="1" t="s">
        <v>588</v>
      </c>
      <c r="B635" s="1" t="str">
        <f>IFERROR(__xludf.DUMMYFUNCTION("GOOGLETRANSLATE(A561, ""zh-CN"", ""en"")"),"Zhejiang Province")</f>
        <v>Zhejiang Province</v>
      </c>
      <c r="C635" s="1" t="s">
        <v>601</v>
      </c>
      <c r="D635" s="1" t="str">
        <f>IFERROR(__xludf.DUMMYFUNCTION("GOOGLETRANSLATE(C635, ""zh-CN"", ""en"")"),"Liu'an City")</f>
        <v>Liu'an City</v>
      </c>
      <c r="E635" s="1" t="s">
        <v>8</v>
      </c>
      <c r="F635" s="1" t="str">
        <f>IFERROR(__xludf.DUMMYFUNCTION("GOOGLETRANSLATE(E635, ""zh-CN"", ""en"")"),"Na")</f>
        <v>Na</v>
      </c>
      <c r="G635" s="1">
        <v>3.415E11</v>
      </c>
    </row>
    <row r="636">
      <c r="A636" s="1" t="s">
        <v>588</v>
      </c>
      <c r="B636" s="1" t="str">
        <f>IFERROR(__xludf.DUMMYFUNCTION("GOOGLETRANSLATE(A562, ""zh-CN"", ""en"")"),"Zhejiang Province")</f>
        <v>Zhejiang Province</v>
      </c>
      <c r="C636" s="1" t="s">
        <v>602</v>
      </c>
      <c r="D636" s="1" t="str">
        <f>IFERROR(__xludf.DUMMYFUNCTION("GOOGLETRANSLATE(C636, ""zh-CN"", ""en"")"),"Bozhou City")</f>
        <v>Bozhou City</v>
      </c>
      <c r="E636" s="1" t="s">
        <v>8</v>
      </c>
      <c r="F636" s="1" t="str">
        <f>IFERROR(__xludf.DUMMYFUNCTION("GOOGLETRANSLATE(E636, ""zh-CN"", ""en"")"),"Na")</f>
        <v>Na</v>
      </c>
      <c r="G636" s="1">
        <v>3.416E11</v>
      </c>
    </row>
    <row r="637">
      <c r="A637" s="1" t="s">
        <v>588</v>
      </c>
      <c r="B637" s="1" t="str">
        <f>IFERROR(__xludf.DUMMYFUNCTION("GOOGLETRANSLATE(A563, ""zh-CN"", ""en"")"),"Zhejiang Province")</f>
        <v>Zhejiang Province</v>
      </c>
      <c r="C637" s="1" t="s">
        <v>603</v>
      </c>
      <c r="D637" s="1" t="str">
        <f>IFERROR(__xludf.DUMMYFUNCTION("GOOGLETRANSLATE(C637, ""zh-CN"", ""en"")"),"Chizhou")</f>
        <v>Chizhou</v>
      </c>
      <c r="E637" s="1" t="s">
        <v>8</v>
      </c>
      <c r="F637" s="1" t="str">
        <f>IFERROR(__xludf.DUMMYFUNCTION("GOOGLETRANSLATE(E637, ""zh-CN"", ""en"")"),"Na")</f>
        <v>Na</v>
      </c>
      <c r="G637" s="1">
        <v>3.417E11</v>
      </c>
    </row>
    <row r="638">
      <c r="A638" s="1" t="s">
        <v>588</v>
      </c>
      <c r="B638" s="1" t="str">
        <f>IFERROR(__xludf.DUMMYFUNCTION("GOOGLETRANSLATE(A564, ""zh-CN"", ""en"")"),"Zhejiang Province")</f>
        <v>Zhejiang Province</v>
      </c>
      <c r="C638" s="1" t="s">
        <v>604</v>
      </c>
      <c r="D638" s="1" t="str">
        <f>IFERROR(__xludf.DUMMYFUNCTION("GOOGLETRANSLATE(C638, ""zh-CN"", ""en"")"),"Xuancheng")</f>
        <v>Xuancheng</v>
      </c>
      <c r="E638" s="1" t="s">
        <v>8</v>
      </c>
      <c r="F638" s="1" t="str">
        <f>IFERROR(__xludf.DUMMYFUNCTION("GOOGLETRANSLATE(E638, ""zh-CN"", ""en"")"),"Na")</f>
        <v>Na</v>
      </c>
      <c r="G638" s="1">
        <v>3.418E11</v>
      </c>
    </row>
    <row r="639">
      <c r="A639" s="1" t="s">
        <v>588</v>
      </c>
      <c r="B639" s="1" t="str">
        <f>IFERROR(__xludf.DUMMYFUNCTION("GOOGLETRANSLATE(A565, ""zh-CN"", ""en"")"),"Zhejiang Province")</f>
        <v>Zhejiang Province</v>
      </c>
      <c r="C639" s="1" t="s">
        <v>589</v>
      </c>
      <c r="D639" s="1" t="str">
        <f>IFERROR(__xludf.DUMMYFUNCTION("GOOGLETRANSLATE(C639, ""zh-CN"", ""en"")"),"Hefei City")</f>
        <v>Hefei City</v>
      </c>
      <c r="E639" s="1" t="s">
        <v>24</v>
      </c>
      <c r="F639" s="1" t="str">
        <f>IFERROR(__xludf.DUMMYFUNCTION("GOOGLETRANSLATE(E639, ""zh-CN"", ""en"")"),"City area")</f>
        <v>City area</v>
      </c>
      <c r="G639" s="1">
        <v>3.40101E11</v>
      </c>
    </row>
    <row r="640">
      <c r="A640" s="1" t="s">
        <v>588</v>
      </c>
      <c r="B640" s="1" t="str">
        <f>IFERROR(__xludf.DUMMYFUNCTION("GOOGLETRANSLATE(A566, ""zh-CN"", ""en"")"),"Zhejiang Province")</f>
        <v>Zhejiang Province</v>
      </c>
      <c r="C640" s="1" t="s">
        <v>589</v>
      </c>
      <c r="D640" s="1" t="str">
        <f>IFERROR(__xludf.DUMMYFUNCTION("GOOGLETRANSLATE(C640, ""zh-CN"", ""en"")"),"Hefei City")</f>
        <v>Hefei City</v>
      </c>
      <c r="E640" s="1" t="s">
        <v>605</v>
      </c>
      <c r="F640" s="1" t="str">
        <f>IFERROR(__xludf.DUMMYFUNCTION("GOOGLETRANSLATE(E640, ""zh-CN"", ""en"")"),"Yaohai District")</f>
        <v>Yaohai District</v>
      </c>
      <c r="G640" s="1">
        <v>3.40102E11</v>
      </c>
    </row>
    <row r="641">
      <c r="A641" s="1" t="s">
        <v>588</v>
      </c>
      <c r="B641" s="1" t="str">
        <f>IFERROR(__xludf.DUMMYFUNCTION("GOOGLETRANSLATE(A567, ""zh-CN"", ""en"")"),"Zhejiang Province")</f>
        <v>Zhejiang Province</v>
      </c>
      <c r="C641" s="1" t="s">
        <v>589</v>
      </c>
      <c r="D641" s="1" t="str">
        <f>IFERROR(__xludf.DUMMYFUNCTION("GOOGLETRANSLATE(C641, ""zh-CN"", ""en"")"),"Hefei City")</f>
        <v>Hefei City</v>
      </c>
      <c r="E641" s="1" t="s">
        <v>606</v>
      </c>
      <c r="F641" s="1" t="str">
        <f>IFERROR(__xludf.DUMMYFUNCTION("GOOGLETRANSLATE(E641, ""zh-CN"", ""en"")"),"Luyang District")</f>
        <v>Luyang District</v>
      </c>
      <c r="G641" s="1">
        <v>3.40103E11</v>
      </c>
    </row>
    <row r="642">
      <c r="A642" s="1" t="s">
        <v>588</v>
      </c>
      <c r="B642" s="1" t="str">
        <f>IFERROR(__xludf.DUMMYFUNCTION("GOOGLETRANSLATE(A568, ""zh-CN"", ""en"")"),"Zhejiang Province")</f>
        <v>Zhejiang Province</v>
      </c>
      <c r="C642" s="1" t="s">
        <v>589</v>
      </c>
      <c r="D642" s="1" t="str">
        <f>IFERROR(__xludf.DUMMYFUNCTION("GOOGLETRANSLATE(C642, ""zh-CN"", ""en"")"),"Hefei City")</f>
        <v>Hefei City</v>
      </c>
      <c r="E642" s="1" t="s">
        <v>607</v>
      </c>
      <c r="F642" s="1" t="str">
        <f>IFERROR(__xludf.DUMMYFUNCTION("GOOGLETRANSLATE(E642, ""zh-CN"", ""en"")"),"Shushan District")</f>
        <v>Shushan District</v>
      </c>
      <c r="G642" s="1">
        <v>3.40104E11</v>
      </c>
    </row>
    <row r="643">
      <c r="A643" s="1" t="s">
        <v>588</v>
      </c>
      <c r="B643" s="1" t="str">
        <f>IFERROR(__xludf.DUMMYFUNCTION("GOOGLETRANSLATE(A569, ""zh-CN"", ""en"")"),"Zhejiang Province")</f>
        <v>Zhejiang Province</v>
      </c>
      <c r="C643" s="1" t="s">
        <v>589</v>
      </c>
      <c r="D643" s="1" t="str">
        <f>IFERROR(__xludf.DUMMYFUNCTION("GOOGLETRANSLATE(C643, ""zh-CN"", ""en"")"),"Hefei City")</f>
        <v>Hefei City</v>
      </c>
      <c r="E643" s="1" t="s">
        <v>608</v>
      </c>
      <c r="F643" s="1" t="str">
        <f>IFERROR(__xludf.DUMMYFUNCTION("GOOGLETRANSLATE(E643, ""zh-CN"", ""en"")"),"Baohe District")</f>
        <v>Baohe District</v>
      </c>
      <c r="G643" s="1">
        <v>3.40111E11</v>
      </c>
    </row>
    <row r="644">
      <c r="A644" s="1" t="s">
        <v>588</v>
      </c>
      <c r="B644" s="1" t="str">
        <f>IFERROR(__xludf.DUMMYFUNCTION("GOOGLETRANSLATE(A570, ""zh-CN"", ""en"")"),"Zhejiang Province")</f>
        <v>Zhejiang Province</v>
      </c>
      <c r="C644" s="1" t="s">
        <v>589</v>
      </c>
      <c r="D644" s="1" t="str">
        <f>IFERROR(__xludf.DUMMYFUNCTION("GOOGLETRANSLATE(C644, ""zh-CN"", ""en"")"),"Hefei City")</f>
        <v>Hefei City</v>
      </c>
      <c r="E644" s="1" t="s">
        <v>609</v>
      </c>
      <c r="F644" s="1" t="str">
        <f>IFERROR(__xludf.DUMMYFUNCTION("GOOGLETRANSLATE(E644, ""zh-CN"", ""en"")"),"Changfeng County")</f>
        <v>Changfeng County</v>
      </c>
      <c r="G644" s="1">
        <v>3.40121E11</v>
      </c>
    </row>
    <row r="645">
      <c r="A645" s="1" t="s">
        <v>588</v>
      </c>
      <c r="B645" s="1" t="str">
        <f>IFERROR(__xludf.DUMMYFUNCTION("GOOGLETRANSLATE(A571, ""zh-CN"", ""en"")"),"Zhejiang Province")</f>
        <v>Zhejiang Province</v>
      </c>
      <c r="C645" s="1" t="s">
        <v>589</v>
      </c>
      <c r="D645" s="1" t="str">
        <f>IFERROR(__xludf.DUMMYFUNCTION("GOOGLETRANSLATE(C645, ""zh-CN"", ""en"")"),"Hefei City")</f>
        <v>Hefei City</v>
      </c>
      <c r="E645" s="1" t="s">
        <v>610</v>
      </c>
      <c r="F645" s="1" t="str">
        <f>IFERROR(__xludf.DUMMYFUNCTION("GOOGLETRANSLATE(E645, ""zh-CN"", ""en"")"),"Feidong County")</f>
        <v>Feidong County</v>
      </c>
      <c r="G645" s="1">
        <v>3.40122E11</v>
      </c>
    </row>
    <row r="646">
      <c r="A646" s="1" t="s">
        <v>588</v>
      </c>
      <c r="B646" s="1" t="str">
        <f>IFERROR(__xludf.DUMMYFUNCTION("GOOGLETRANSLATE(A572, ""zh-CN"", ""en"")"),"Zhejiang Province")</f>
        <v>Zhejiang Province</v>
      </c>
      <c r="C646" s="1" t="s">
        <v>589</v>
      </c>
      <c r="D646" s="1" t="str">
        <f>IFERROR(__xludf.DUMMYFUNCTION("GOOGLETRANSLATE(C646, ""zh-CN"", ""en"")"),"Hefei City")</f>
        <v>Hefei City</v>
      </c>
      <c r="E646" s="1" t="s">
        <v>611</v>
      </c>
      <c r="F646" s="1" t="str">
        <f>IFERROR(__xludf.DUMMYFUNCTION("GOOGLETRANSLATE(E646, ""zh-CN"", ""en"")"),"Feixi County")</f>
        <v>Feixi County</v>
      </c>
      <c r="G646" s="1">
        <v>3.40123E11</v>
      </c>
    </row>
    <row r="647">
      <c r="A647" s="1" t="s">
        <v>588</v>
      </c>
      <c r="B647" s="1" t="str">
        <f>IFERROR(__xludf.DUMMYFUNCTION("GOOGLETRANSLATE(A573, ""zh-CN"", ""en"")"),"Zhejiang Province")</f>
        <v>Zhejiang Province</v>
      </c>
      <c r="C647" s="1" t="s">
        <v>589</v>
      </c>
      <c r="D647" s="1" t="str">
        <f>IFERROR(__xludf.DUMMYFUNCTION("GOOGLETRANSLATE(C647, ""zh-CN"", ""en"")"),"Hefei City")</f>
        <v>Hefei City</v>
      </c>
      <c r="E647" s="1" t="s">
        <v>612</v>
      </c>
      <c r="F647" s="1" t="str">
        <f>IFERROR(__xludf.DUMMYFUNCTION("GOOGLETRANSLATE(E647, ""zh-CN"", ""en"")"),"Lujiang County")</f>
        <v>Lujiang County</v>
      </c>
      <c r="G647" s="1">
        <v>3.40124E11</v>
      </c>
    </row>
    <row r="648">
      <c r="A648" s="1" t="s">
        <v>588</v>
      </c>
      <c r="B648" s="1" t="str">
        <f>IFERROR(__xludf.DUMMYFUNCTION("GOOGLETRANSLATE(A574, ""zh-CN"", ""en"")"),"Zhejiang Province")</f>
        <v>Zhejiang Province</v>
      </c>
      <c r="C648" s="1" t="s">
        <v>589</v>
      </c>
      <c r="D648" s="1" t="str">
        <f>IFERROR(__xludf.DUMMYFUNCTION("GOOGLETRANSLATE(C648, ""zh-CN"", ""en"")"),"Hefei City")</f>
        <v>Hefei City</v>
      </c>
      <c r="E648" s="1" t="s">
        <v>613</v>
      </c>
      <c r="F648" s="1" t="str">
        <f>IFERROR(__xludf.DUMMYFUNCTION("GOOGLETRANSLATE(E648, ""zh-CN"", ""en"")"),"Hefei High -tech Industrial Development Zone")</f>
        <v>Hefei High -tech Industrial Development Zone</v>
      </c>
      <c r="G648" s="1">
        <v>3.40171E11</v>
      </c>
    </row>
    <row r="649">
      <c r="A649" s="1" t="s">
        <v>588</v>
      </c>
      <c r="B649" s="1" t="str">
        <f>IFERROR(__xludf.DUMMYFUNCTION("GOOGLETRANSLATE(A575, ""zh-CN"", ""en"")"),"Zhejiang Province")</f>
        <v>Zhejiang Province</v>
      </c>
      <c r="C649" s="1" t="s">
        <v>589</v>
      </c>
      <c r="D649" s="1" t="str">
        <f>IFERROR(__xludf.DUMMYFUNCTION("GOOGLETRANSLATE(C649, ""zh-CN"", ""en"")"),"Hefei City")</f>
        <v>Hefei City</v>
      </c>
      <c r="E649" s="1" t="s">
        <v>614</v>
      </c>
      <c r="F649" s="1" t="str">
        <f>IFERROR(__xludf.DUMMYFUNCTION("GOOGLETRANSLATE(E649, ""zh-CN"", ""en"")"),"Hefei Economic and Technological Development Zone")</f>
        <v>Hefei Economic and Technological Development Zone</v>
      </c>
      <c r="G649" s="1">
        <v>3.40172E11</v>
      </c>
    </row>
    <row r="650">
      <c r="A650" s="1" t="s">
        <v>588</v>
      </c>
      <c r="B650" s="1" t="str">
        <f>IFERROR(__xludf.DUMMYFUNCTION("GOOGLETRANSLATE(A576, ""zh-CN"", ""en"")"),"Zhejiang Province")</f>
        <v>Zhejiang Province</v>
      </c>
      <c r="C650" s="1" t="s">
        <v>589</v>
      </c>
      <c r="D650" s="1" t="str">
        <f>IFERROR(__xludf.DUMMYFUNCTION("GOOGLETRANSLATE(C650, ""zh-CN"", ""en"")"),"Hefei City")</f>
        <v>Hefei City</v>
      </c>
      <c r="E650" s="1" t="s">
        <v>615</v>
      </c>
      <c r="F650" s="1" t="str">
        <f>IFERROR(__xludf.DUMMYFUNCTION("GOOGLETRANSLATE(E650, ""zh-CN"", ""en"")"),"Hefei New Station High -tech Industrial Development Zone")</f>
        <v>Hefei New Station High -tech Industrial Development Zone</v>
      </c>
      <c r="G650" s="1">
        <v>3.40173E11</v>
      </c>
    </row>
    <row r="651">
      <c r="A651" s="1" t="s">
        <v>588</v>
      </c>
      <c r="B651" s="1" t="str">
        <f>IFERROR(__xludf.DUMMYFUNCTION("GOOGLETRANSLATE(A577, ""zh-CN"", ""en"")"),"Zhejiang Province")</f>
        <v>Zhejiang Province</v>
      </c>
      <c r="C651" s="1" t="s">
        <v>589</v>
      </c>
      <c r="D651" s="1" t="str">
        <f>IFERROR(__xludf.DUMMYFUNCTION("GOOGLETRANSLATE(C651, ""zh-CN"", ""en"")"),"Hefei City")</f>
        <v>Hefei City</v>
      </c>
      <c r="E651" s="1" t="s">
        <v>616</v>
      </c>
      <c r="F651" s="1" t="str">
        <f>IFERROR(__xludf.DUMMYFUNCTION("GOOGLETRANSLATE(E651, ""zh-CN"", ""en"")"),"Chaohu City")</f>
        <v>Chaohu City</v>
      </c>
      <c r="G651" s="1">
        <v>3.40181E11</v>
      </c>
    </row>
    <row r="652">
      <c r="A652" s="1" t="s">
        <v>588</v>
      </c>
      <c r="B652" s="1" t="str">
        <f>IFERROR(__xludf.DUMMYFUNCTION("GOOGLETRANSLATE(A578, ""zh-CN"", ""en"")"),"Zhejiang Province")</f>
        <v>Zhejiang Province</v>
      </c>
      <c r="C652" s="1" t="s">
        <v>590</v>
      </c>
      <c r="D652" s="1" t="str">
        <f>IFERROR(__xludf.DUMMYFUNCTION("GOOGLETRANSLATE(C652, ""zh-CN"", ""en"")"),"Wuhu")</f>
        <v>Wuhu</v>
      </c>
      <c r="E652" s="1" t="s">
        <v>24</v>
      </c>
      <c r="F652" s="1" t="str">
        <f>IFERROR(__xludf.DUMMYFUNCTION("GOOGLETRANSLATE(E652, ""zh-CN"", ""en"")"),"City area")</f>
        <v>City area</v>
      </c>
      <c r="G652" s="1">
        <v>3.40201E11</v>
      </c>
    </row>
    <row r="653">
      <c r="A653" s="1" t="s">
        <v>588</v>
      </c>
      <c r="B653" s="1" t="str">
        <f>IFERROR(__xludf.DUMMYFUNCTION("GOOGLETRANSLATE(A579, ""zh-CN"", ""en"")"),"Zhejiang Province")</f>
        <v>Zhejiang Province</v>
      </c>
      <c r="C653" s="1" t="s">
        <v>590</v>
      </c>
      <c r="D653" s="1" t="str">
        <f>IFERROR(__xludf.DUMMYFUNCTION("GOOGLETRANSLATE(C653, ""zh-CN"", ""en"")"),"Wuhu")</f>
        <v>Wuhu</v>
      </c>
      <c r="E653" s="1" t="s">
        <v>617</v>
      </c>
      <c r="F653" s="1" t="str">
        <f>IFERROR(__xludf.DUMMYFUNCTION("GOOGLETRANSLATE(E653, ""zh-CN"", ""en"")"),"Jinghu District")</f>
        <v>Jinghu District</v>
      </c>
      <c r="G653" s="1">
        <v>3.40202E11</v>
      </c>
    </row>
    <row r="654">
      <c r="A654" s="1" t="s">
        <v>588</v>
      </c>
      <c r="B654" s="1" t="str">
        <f>IFERROR(__xludf.DUMMYFUNCTION("GOOGLETRANSLATE(A580, ""zh-CN"", ""en"")"),"Zhejiang Province")</f>
        <v>Zhejiang Province</v>
      </c>
      <c r="C654" s="1" t="s">
        <v>590</v>
      </c>
      <c r="D654" s="1" t="str">
        <f>IFERROR(__xludf.DUMMYFUNCTION("GOOGLETRANSLATE(C654, ""zh-CN"", ""en"")"),"Wuhu")</f>
        <v>Wuhu</v>
      </c>
      <c r="E654" s="1" t="s">
        <v>618</v>
      </c>
      <c r="F654" s="1" t="str">
        <f>IFERROR(__xludf.DUMMYFUNCTION("GOOGLETRANSLATE(E654, ""zh-CN"", ""en"")"),"Kujiang District")</f>
        <v>Kujiang District</v>
      </c>
      <c r="G654" s="1">
        <v>3.40207E11</v>
      </c>
    </row>
    <row r="655">
      <c r="A655" s="1" t="s">
        <v>588</v>
      </c>
      <c r="B655" s="1" t="str">
        <f>IFERROR(__xludf.DUMMYFUNCTION("GOOGLETRANSLATE(A581, ""zh-CN"", ""en"")"),"Zhejiang Province")</f>
        <v>Zhejiang Province</v>
      </c>
      <c r="C655" s="1" t="s">
        <v>590</v>
      </c>
      <c r="D655" s="1" t="str">
        <f>IFERROR(__xludf.DUMMYFUNCTION("GOOGLETRANSLATE(C655, ""zh-CN"", ""en"")"),"Wuhu")</f>
        <v>Wuhu</v>
      </c>
      <c r="E655" s="1" t="s">
        <v>619</v>
      </c>
      <c r="F655" s="1" t="str">
        <f>IFERROR(__xludf.DUMMYFUNCTION("GOOGLETRANSLATE(E655, ""zh-CN"", ""en"")"),"Yijiang District")</f>
        <v>Yijiang District</v>
      </c>
      <c r="G655" s="1">
        <v>3.40209E11</v>
      </c>
    </row>
    <row r="656">
      <c r="A656" s="1" t="s">
        <v>588</v>
      </c>
      <c r="B656" s="1" t="str">
        <f>IFERROR(__xludf.DUMMYFUNCTION("GOOGLETRANSLATE(A582, ""zh-CN"", ""en"")"),"Zhejiang Province")</f>
        <v>Zhejiang Province</v>
      </c>
      <c r="C656" s="1" t="s">
        <v>590</v>
      </c>
      <c r="D656" s="1" t="str">
        <f>IFERROR(__xludf.DUMMYFUNCTION("GOOGLETRANSLATE(C656, ""zh-CN"", ""en"")"),"Wuhu")</f>
        <v>Wuhu</v>
      </c>
      <c r="E656" s="1" t="s">
        <v>620</v>
      </c>
      <c r="F656" s="1" t="str">
        <f>IFERROR(__xludf.DUMMYFUNCTION("GOOGLETRANSLATE(E656, ""zh-CN"", ""en"")"),"Gulf District")</f>
        <v>Gulf District</v>
      </c>
      <c r="G656" s="1">
        <v>3.4021E11</v>
      </c>
    </row>
    <row r="657">
      <c r="A657" s="1" t="s">
        <v>588</v>
      </c>
      <c r="B657" s="1" t="str">
        <f>IFERROR(__xludf.DUMMYFUNCTION("GOOGLETRANSLATE(A583, ""zh-CN"", ""en"")"),"Zhejiang Province")</f>
        <v>Zhejiang Province</v>
      </c>
      <c r="C657" s="1" t="s">
        <v>590</v>
      </c>
      <c r="D657" s="1" t="str">
        <f>IFERROR(__xludf.DUMMYFUNCTION("GOOGLETRANSLATE(C657, ""zh-CN"", ""en"")"),"Wuhu")</f>
        <v>Wuhu</v>
      </c>
      <c r="E657" s="1" t="s">
        <v>621</v>
      </c>
      <c r="F657" s="1" t="str">
        <f>IFERROR(__xludf.DUMMYFUNCTION("GOOGLETRANSLATE(E657, ""zh-CN"", ""en"")"),"Fanchang District")</f>
        <v>Fanchang District</v>
      </c>
      <c r="G657" s="1">
        <v>3.40212E11</v>
      </c>
    </row>
    <row r="658">
      <c r="A658" s="1" t="s">
        <v>588</v>
      </c>
      <c r="B658" s="1" t="str">
        <f>IFERROR(__xludf.DUMMYFUNCTION("GOOGLETRANSLATE(A584, ""zh-CN"", ""en"")"),"Zhejiang Province")</f>
        <v>Zhejiang Province</v>
      </c>
      <c r="C658" s="1" t="s">
        <v>590</v>
      </c>
      <c r="D658" s="1" t="str">
        <f>IFERROR(__xludf.DUMMYFUNCTION("GOOGLETRANSLATE(C658, ""zh-CN"", ""en"")"),"Wuhu")</f>
        <v>Wuhu</v>
      </c>
      <c r="E658" s="1" t="s">
        <v>622</v>
      </c>
      <c r="F658" s="1" t="str">
        <f>IFERROR(__xludf.DUMMYFUNCTION("GOOGLETRANSLATE(E658, ""zh-CN"", ""en"")"),"Nanling County")</f>
        <v>Nanling County</v>
      </c>
      <c r="G658" s="1">
        <v>3.40223E11</v>
      </c>
    </row>
    <row r="659">
      <c r="A659" s="1" t="s">
        <v>588</v>
      </c>
      <c r="B659" s="1" t="str">
        <f>IFERROR(__xludf.DUMMYFUNCTION("GOOGLETRANSLATE(A585, ""zh-CN"", ""en"")"),"Zhejiang Province")</f>
        <v>Zhejiang Province</v>
      </c>
      <c r="C659" s="1" t="s">
        <v>590</v>
      </c>
      <c r="D659" s="1" t="str">
        <f>IFERROR(__xludf.DUMMYFUNCTION("GOOGLETRANSLATE(C659, ""zh-CN"", ""en"")"),"Wuhu")</f>
        <v>Wuhu</v>
      </c>
      <c r="E659" s="1" t="s">
        <v>623</v>
      </c>
      <c r="F659" s="1" t="str">
        <f>IFERROR(__xludf.DUMMYFUNCTION("GOOGLETRANSLATE(E659, ""zh-CN"", ""en"")"),"Wuhu Economic and Technological Development Zone")</f>
        <v>Wuhu Economic and Technological Development Zone</v>
      </c>
      <c r="G659" s="1">
        <v>3.40271E11</v>
      </c>
    </row>
    <row r="660">
      <c r="A660" s="1" t="s">
        <v>588</v>
      </c>
      <c r="B660" s="1" t="str">
        <f>IFERROR(__xludf.DUMMYFUNCTION("GOOGLETRANSLATE(A586, ""zh-CN"", ""en"")"),"Zhejiang Province")</f>
        <v>Zhejiang Province</v>
      </c>
      <c r="C660" s="1" t="s">
        <v>590</v>
      </c>
      <c r="D660" s="1" t="str">
        <f>IFERROR(__xludf.DUMMYFUNCTION("GOOGLETRANSLATE(C660, ""zh-CN"", ""en"")"),"Wuhu")</f>
        <v>Wuhu</v>
      </c>
      <c r="E660" s="1" t="s">
        <v>624</v>
      </c>
      <c r="F660" s="1" t="str">
        <f>IFERROR(__xludf.DUMMYFUNCTION("GOOGLETRANSLATE(E660, ""zh-CN"", ""en"")"),"Anhui Wuhu Sanshan Economic Development Zone")</f>
        <v>Anhui Wuhu Sanshan Economic Development Zone</v>
      </c>
      <c r="G660" s="1">
        <v>3.40272E11</v>
      </c>
    </row>
    <row r="661">
      <c r="A661" s="1" t="s">
        <v>588</v>
      </c>
      <c r="B661" s="1" t="str">
        <f>IFERROR(__xludf.DUMMYFUNCTION("GOOGLETRANSLATE(A587, ""zh-CN"", ""en"")"),"Zhejiang Province")</f>
        <v>Zhejiang Province</v>
      </c>
      <c r="C661" s="1" t="s">
        <v>590</v>
      </c>
      <c r="D661" s="1" t="str">
        <f>IFERROR(__xludf.DUMMYFUNCTION("GOOGLETRANSLATE(C661, ""zh-CN"", ""en"")"),"Wuhu")</f>
        <v>Wuhu</v>
      </c>
      <c r="E661" s="1" t="s">
        <v>625</v>
      </c>
      <c r="F661" s="1" t="str">
        <f>IFERROR(__xludf.DUMMYFUNCTION("GOOGLETRANSLATE(E661, ""zh-CN"", ""en"")"),"Uniform city")</f>
        <v>Uniform city</v>
      </c>
      <c r="G661" s="1">
        <v>3.40281E11</v>
      </c>
    </row>
    <row r="662">
      <c r="A662" s="1" t="s">
        <v>588</v>
      </c>
      <c r="B662" s="1" t="str">
        <f>IFERROR(__xludf.DUMMYFUNCTION("GOOGLETRANSLATE(A588, ""zh-CN"", ""en"")"),"Zhejiang Province")</f>
        <v>Zhejiang Province</v>
      </c>
      <c r="C662" s="1" t="s">
        <v>591</v>
      </c>
      <c r="D662" s="1" t="str">
        <f>IFERROR(__xludf.DUMMYFUNCTION("GOOGLETRANSLATE(C662, ""zh-CN"", ""en"")"),"Bengbu")</f>
        <v>Bengbu</v>
      </c>
      <c r="E662" s="1" t="s">
        <v>24</v>
      </c>
      <c r="F662" s="1" t="str">
        <f>IFERROR(__xludf.DUMMYFUNCTION("GOOGLETRANSLATE(E662, ""zh-CN"", ""en"")"),"City area")</f>
        <v>City area</v>
      </c>
      <c r="G662" s="1">
        <v>3.40301E11</v>
      </c>
    </row>
    <row r="663">
      <c r="A663" s="1" t="s">
        <v>588</v>
      </c>
      <c r="B663" s="1" t="str">
        <f>IFERROR(__xludf.DUMMYFUNCTION("GOOGLETRANSLATE(A589, ""zh-CN"", ""en"")"),"Zhejiang Province")</f>
        <v>Zhejiang Province</v>
      </c>
      <c r="C663" s="1" t="s">
        <v>591</v>
      </c>
      <c r="D663" s="1" t="str">
        <f>IFERROR(__xludf.DUMMYFUNCTION("GOOGLETRANSLATE(C663, ""zh-CN"", ""en"")"),"Bengbu")</f>
        <v>Bengbu</v>
      </c>
      <c r="E663" s="1" t="s">
        <v>626</v>
      </c>
      <c r="F663" s="1" t="str">
        <f>IFERROR(__xludf.DUMMYFUNCTION("GOOGLETRANSLATE(E663, ""zh-CN"", ""en"")"),"Longzi Lake District")</f>
        <v>Longzi Lake District</v>
      </c>
      <c r="G663" s="1">
        <v>3.40302E11</v>
      </c>
    </row>
    <row r="664">
      <c r="A664" s="1" t="s">
        <v>588</v>
      </c>
      <c r="B664" s="1" t="str">
        <f>IFERROR(__xludf.DUMMYFUNCTION("GOOGLETRANSLATE(A590, ""zh-CN"", ""en"")"),"Zhejiang Province")</f>
        <v>Zhejiang Province</v>
      </c>
      <c r="C664" s="1" t="s">
        <v>591</v>
      </c>
      <c r="D664" s="1" t="str">
        <f>IFERROR(__xludf.DUMMYFUNCTION("GOOGLETRANSLATE(C664, ""zh-CN"", ""en"")"),"Bengbu")</f>
        <v>Bengbu</v>
      </c>
      <c r="E664" s="1" t="s">
        <v>627</v>
      </c>
      <c r="F664" s="1" t="str">
        <f>IFERROR(__xludf.DUMMYFUNCTION("GOOGLETRANSLATE(E664, ""zh-CN"", ""en"")"),"Gong Mountain District")</f>
        <v>Gong Mountain District</v>
      </c>
      <c r="G664" s="1">
        <v>3.40303E11</v>
      </c>
    </row>
    <row r="665">
      <c r="A665" s="1" t="s">
        <v>588</v>
      </c>
      <c r="B665" s="1" t="str">
        <f>IFERROR(__xludf.DUMMYFUNCTION("GOOGLETRANSLATE(A591, ""zh-CN"", ""en"")"),"Zhejiang Province")</f>
        <v>Zhejiang Province</v>
      </c>
      <c r="C665" s="1" t="s">
        <v>591</v>
      </c>
      <c r="D665" s="1" t="str">
        <f>IFERROR(__xludf.DUMMYFUNCTION("GOOGLETRANSLATE(C665, ""zh-CN"", ""en"")"),"Bengbu")</f>
        <v>Bengbu</v>
      </c>
      <c r="E665" s="1" t="s">
        <v>628</v>
      </c>
      <c r="F665" s="1" t="str">
        <f>IFERROR(__xludf.DUMMYFUNCTION("GOOGLETRANSLATE(E665, ""zh-CN"", ""en"")"),"Yuhui District")</f>
        <v>Yuhui District</v>
      </c>
      <c r="G665" s="1">
        <v>3.40304E11</v>
      </c>
    </row>
    <row r="666">
      <c r="A666" s="1" t="s">
        <v>588</v>
      </c>
      <c r="B666" s="1" t="str">
        <f>IFERROR(__xludf.DUMMYFUNCTION("GOOGLETRANSLATE(A592, ""zh-CN"", ""en"")"),"Zhejiang Province")</f>
        <v>Zhejiang Province</v>
      </c>
      <c r="C666" s="1" t="s">
        <v>591</v>
      </c>
      <c r="D666" s="1" t="str">
        <f>IFERROR(__xludf.DUMMYFUNCTION("GOOGLETRANSLATE(C666, ""zh-CN"", ""en"")"),"Bengbu")</f>
        <v>Bengbu</v>
      </c>
      <c r="E666" s="1" t="s">
        <v>629</v>
      </c>
      <c r="F666" s="1" t="str">
        <f>IFERROR(__xludf.DUMMYFUNCTION("GOOGLETRANSLATE(E666, ""zh-CN"", ""en"")"),"Huai Shang District")</f>
        <v>Huai Shang District</v>
      </c>
      <c r="G666" s="1">
        <v>3.40311E11</v>
      </c>
    </row>
    <row r="667">
      <c r="A667" s="1" t="s">
        <v>588</v>
      </c>
      <c r="B667" s="1" t="str">
        <f>IFERROR(__xludf.DUMMYFUNCTION("GOOGLETRANSLATE(A593, ""zh-CN"", ""en"")"),"Zhejiang Province")</f>
        <v>Zhejiang Province</v>
      </c>
      <c r="C667" s="1" t="s">
        <v>591</v>
      </c>
      <c r="D667" s="1" t="str">
        <f>IFERROR(__xludf.DUMMYFUNCTION("GOOGLETRANSLATE(C667, ""zh-CN"", ""en"")"),"Bengbu")</f>
        <v>Bengbu</v>
      </c>
      <c r="E667" s="1" t="s">
        <v>630</v>
      </c>
      <c r="F667" s="1" t="str">
        <f>IFERROR(__xludf.DUMMYFUNCTION("GOOGLETRANSLATE(E667, ""zh-CN"", ""en"")"),"Huaiyuan County")</f>
        <v>Huaiyuan County</v>
      </c>
      <c r="G667" s="1">
        <v>3.40321E11</v>
      </c>
    </row>
    <row r="668">
      <c r="A668" s="1" t="s">
        <v>588</v>
      </c>
      <c r="B668" s="1" t="str">
        <f>IFERROR(__xludf.DUMMYFUNCTION("GOOGLETRANSLATE(A594, ""zh-CN"", ""en"")"),"Zhejiang Province")</f>
        <v>Zhejiang Province</v>
      </c>
      <c r="C668" s="1" t="s">
        <v>591</v>
      </c>
      <c r="D668" s="1" t="str">
        <f>IFERROR(__xludf.DUMMYFUNCTION("GOOGLETRANSLATE(C668, ""zh-CN"", ""en"")"),"Bengbu")</f>
        <v>Bengbu</v>
      </c>
      <c r="E668" s="1" t="s">
        <v>631</v>
      </c>
      <c r="F668" s="1" t="str">
        <f>IFERROR(__xludf.DUMMYFUNCTION("GOOGLETRANSLATE(E668, ""zh-CN"", ""en"")"),"Wuhe County")</f>
        <v>Wuhe County</v>
      </c>
      <c r="G668" s="1">
        <v>3.40322E11</v>
      </c>
    </row>
    <row r="669">
      <c r="A669" s="1" t="s">
        <v>588</v>
      </c>
      <c r="B669" s="1" t="str">
        <f>IFERROR(__xludf.DUMMYFUNCTION("GOOGLETRANSLATE(A595, ""zh-CN"", ""en"")"),"Zhejiang Province")</f>
        <v>Zhejiang Province</v>
      </c>
      <c r="C669" s="1" t="s">
        <v>591</v>
      </c>
      <c r="D669" s="1" t="str">
        <f>IFERROR(__xludf.DUMMYFUNCTION("GOOGLETRANSLATE(C669, ""zh-CN"", ""en"")"),"Bengbu")</f>
        <v>Bengbu</v>
      </c>
      <c r="E669" s="1" t="s">
        <v>632</v>
      </c>
      <c r="F669" s="1" t="str">
        <f>IFERROR(__xludf.DUMMYFUNCTION("GOOGLETRANSLATE(E669, ""zh-CN"", ""en"")"),"Guzhen County")</f>
        <v>Guzhen County</v>
      </c>
      <c r="G669" s="1">
        <v>3.40323E11</v>
      </c>
    </row>
    <row r="670">
      <c r="A670" s="1" t="s">
        <v>588</v>
      </c>
      <c r="B670" s="1" t="str">
        <f>IFERROR(__xludf.DUMMYFUNCTION("GOOGLETRANSLATE(A596, ""zh-CN"", ""en"")"),"Zhejiang Province")</f>
        <v>Zhejiang Province</v>
      </c>
      <c r="C670" s="1" t="s">
        <v>591</v>
      </c>
      <c r="D670" s="1" t="str">
        <f>IFERROR(__xludf.DUMMYFUNCTION("GOOGLETRANSLATE(C670, ""zh-CN"", ""en"")"),"Bengbu")</f>
        <v>Bengbu</v>
      </c>
      <c r="E670" s="1" t="s">
        <v>633</v>
      </c>
      <c r="F670" s="1" t="str">
        <f>IFERROR(__xludf.DUMMYFUNCTION("GOOGLETRANSLATE(E670, ""zh-CN"", ""en"")"),"Bengbu High -tech Development Zone")</f>
        <v>Bengbu High -tech Development Zone</v>
      </c>
      <c r="G670" s="1">
        <v>3.40371E11</v>
      </c>
    </row>
    <row r="671">
      <c r="A671" s="1" t="s">
        <v>588</v>
      </c>
      <c r="B671" s="1" t="str">
        <f>IFERROR(__xludf.DUMMYFUNCTION("GOOGLETRANSLATE(A597, ""zh-CN"", ""en"")"),"Zhejiang Province")</f>
        <v>Zhejiang Province</v>
      </c>
      <c r="C671" s="1" t="s">
        <v>591</v>
      </c>
      <c r="D671" s="1" t="str">
        <f>IFERROR(__xludf.DUMMYFUNCTION("GOOGLETRANSLATE(C671, ""zh-CN"", ""en"")"),"Bengbu")</f>
        <v>Bengbu</v>
      </c>
      <c r="E671" s="1" t="s">
        <v>634</v>
      </c>
      <c r="F671" s="1" t="str">
        <f>IFERROR(__xludf.DUMMYFUNCTION("GOOGLETRANSLATE(E671, ""zh-CN"", ""en"")"),"Bengbu Economic Development Zone")</f>
        <v>Bengbu Economic Development Zone</v>
      </c>
      <c r="G671" s="1">
        <v>3.40372E11</v>
      </c>
    </row>
    <row r="672">
      <c r="A672" s="1" t="s">
        <v>588</v>
      </c>
      <c r="B672" s="1" t="str">
        <f>IFERROR(__xludf.DUMMYFUNCTION("GOOGLETRANSLATE(A598, ""zh-CN"", ""en"")"),"Zhejiang Province")</f>
        <v>Zhejiang Province</v>
      </c>
      <c r="C672" s="1" t="s">
        <v>592</v>
      </c>
      <c r="D672" s="1" t="str">
        <f>IFERROR(__xludf.DUMMYFUNCTION("GOOGLETRANSLATE(C672, ""zh-CN"", ""en"")"),"Huainan City")</f>
        <v>Huainan City</v>
      </c>
      <c r="E672" s="1" t="s">
        <v>24</v>
      </c>
      <c r="F672" s="1" t="str">
        <f>IFERROR(__xludf.DUMMYFUNCTION("GOOGLETRANSLATE(E672, ""zh-CN"", ""en"")"),"City area")</f>
        <v>City area</v>
      </c>
      <c r="G672" s="1">
        <v>3.40401E11</v>
      </c>
    </row>
    <row r="673">
      <c r="A673" s="1" t="s">
        <v>588</v>
      </c>
      <c r="B673" s="1" t="str">
        <f>IFERROR(__xludf.DUMMYFUNCTION("GOOGLETRANSLATE(A599, ""zh-CN"", ""en"")"),"Zhejiang Province")</f>
        <v>Zhejiang Province</v>
      </c>
      <c r="C673" s="1" t="s">
        <v>592</v>
      </c>
      <c r="D673" s="1" t="str">
        <f>IFERROR(__xludf.DUMMYFUNCTION("GOOGLETRANSLATE(C673, ""zh-CN"", ""en"")"),"Huainan City")</f>
        <v>Huainan City</v>
      </c>
      <c r="E673" s="1" t="s">
        <v>635</v>
      </c>
      <c r="F673" s="1" t="str">
        <f>IFERROR(__xludf.DUMMYFUNCTION("GOOGLETRANSLATE(E673, ""zh-CN"", ""en"")"),"Datong District")</f>
        <v>Datong District</v>
      </c>
      <c r="G673" s="1">
        <v>3.40402E11</v>
      </c>
    </row>
    <row r="674">
      <c r="A674" s="1" t="s">
        <v>588</v>
      </c>
      <c r="B674" s="1" t="str">
        <f>IFERROR(__xludf.DUMMYFUNCTION("GOOGLETRANSLATE(A600, ""zh-CN"", ""en"")"),"Zhejiang Province")</f>
        <v>Zhejiang Province</v>
      </c>
      <c r="C674" s="1" t="s">
        <v>592</v>
      </c>
      <c r="D674" s="1" t="str">
        <f>IFERROR(__xludf.DUMMYFUNCTION("GOOGLETRANSLATE(C674, ""zh-CN"", ""en"")"),"Huainan City")</f>
        <v>Huainan City</v>
      </c>
      <c r="E674" s="1" t="s">
        <v>636</v>
      </c>
      <c r="F674" s="1" t="str">
        <f>IFERROR(__xludf.DUMMYFUNCTION("GOOGLETRANSLATE(E674, ""zh-CN"", ""en"")"),"Tianjiayu District")</f>
        <v>Tianjiayu District</v>
      </c>
      <c r="G674" s="1">
        <v>3.40403E11</v>
      </c>
    </row>
    <row r="675">
      <c r="A675" s="1" t="s">
        <v>588</v>
      </c>
      <c r="B675" s="1" t="str">
        <f>IFERROR(__xludf.DUMMYFUNCTION("GOOGLETRANSLATE(A601, ""zh-CN"", ""en"")"),"Zhejiang Province")</f>
        <v>Zhejiang Province</v>
      </c>
      <c r="C675" s="1" t="s">
        <v>592</v>
      </c>
      <c r="D675" s="1" t="str">
        <f>IFERROR(__xludf.DUMMYFUNCTION("GOOGLETRANSLATE(C675, ""zh-CN"", ""en"")"),"Huainan City")</f>
        <v>Huainan City</v>
      </c>
      <c r="E675" s="1" t="s">
        <v>637</v>
      </c>
      <c r="F675" s="1" t="str">
        <f>IFERROR(__xludf.DUMMYFUNCTION("GOOGLETRANSLATE(E675, ""zh-CN"", ""en"")"),"Xiejia Section")</f>
        <v>Xiejia Section</v>
      </c>
      <c r="G675" s="1">
        <v>3.40404E11</v>
      </c>
    </row>
    <row r="676">
      <c r="A676" s="1" t="s">
        <v>588</v>
      </c>
      <c r="B676" s="1" t="str">
        <f>IFERROR(__xludf.DUMMYFUNCTION("GOOGLETRANSLATE(A602, ""zh-CN"", ""en"")"),"Zhejiang Province")</f>
        <v>Zhejiang Province</v>
      </c>
      <c r="C676" s="1" t="s">
        <v>592</v>
      </c>
      <c r="D676" s="1" t="str">
        <f>IFERROR(__xludf.DUMMYFUNCTION("GOOGLETRANSLATE(C676, ""zh-CN"", ""en"")"),"Huainan City")</f>
        <v>Huainan City</v>
      </c>
      <c r="E676" s="1" t="s">
        <v>638</v>
      </c>
      <c r="F676" s="1" t="str">
        <f>IFERROR(__xludf.DUMMYFUNCTION("GOOGLETRANSLATE(E676, ""zh-CN"", ""en"")"),"Bagongshan District")</f>
        <v>Bagongshan District</v>
      </c>
      <c r="G676" s="1">
        <v>3.40405E11</v>
      </c>
    </row>
    <row r="677">
      <c r="A677" s="1" t="s">
        <v>588</v>
      </c>
      <c r="B677" s="1" t="str">
        <f>IFERROR(__xludf.DUMMYFUNCTION("GOOGLETRANSLATE(A603, ""zh-CN"", ""en"")"),"Zhejiang Province")</f>
        <v>Zhejiang Province</v>
      </c>
      <c r="C677" s="1" t="s">
        <v>592</v>
      </c>
      <c r="D677" s="1" t="str">
        <f>IFERROR(__xludf.DUMMYFUNCTION("GOOGLETRANSLATE(C677, ""zh-CN"", ""en"")"),"Huainan City")</f>
        <v>Huainan City</v>
      </c>
      <c r="E677" s="1" t="s">
        <v>639</v>
      </c>
      <c r="F677" s="1" t="str">
        <f>IFERROR(__xludf.DUMMYFUNCTION("GOOGLETRANSLATE(E677, ""zh-CN"", ""en"")"),"Panji District")</f>
        <v>Panji District</v>
      </c>
      <c r="G677" s="1">
        <v>3.40406E11</v>
      </c>
    </row>
    <row r="678">
      <c r="A678" s="1" t="s">
        <v>588</v>
      </c>
      <c r="B678" s="1" t="str">
        <f>IFERROR(__xludf.DUMMYFUNCTION("GOOGLETRANSLATE(A604, ""zh-CN"", ""en"")"),"Zhejiang Province")</f>
        <v>Zhejiang Province</v>
      </c>
      <c r="C678" s="1" t="s">
        <v>592</v>
      </c>
      <c r="D678" s="1" t="str">
        <f>IFERROR(__xludf.DUMMYFUNCTION("GOOGLETRANSLATE(C678, ""zh-CN"", ""en"")"),"Huainan City")</f>
        <v>Huainan City</v>
      </c>
      <c r="E678" s="1" t="s">
        <v>640</v>
      </c>
      <c r="F678" s="1" t="str">
        <f>IFERROR(__xludf.DUMMYFUNCTION("GOOGLETRANSLATE(E678, ""zh-CN"", ""en"")"),"Fengtai County")</f>
        <v>Fengtai County</v>
      </c>
      <c r="G678" s="1">
        <v>3.40421E11</v>
      </c>
    </row>
    <row r="679">
      <c r="A679" s="1" t="s">
        <v>588</v>
      </c>
      <c r="B679" s="1" t="str">
        <f>IFERROR(__xludf.DUMMYFUNCTION("GOOGLETRANSLATE(A605, ""zh-CN"", ""en"")"),"Zhejiang Province")</f>
        <v>Zhejiang Province</v>
      </c>
      <c r="C679" s="1" t="s">
        <v>592</v>
      </c>
      <c r="D679" s="1" t="str">
        <f>IFERROR(__xludf.DUMMYFUNCTION("GOOGLETRANSLATE(C679, ""zh-CN"", ""en"")"),"Huainan City")</f>
        <v>Huainan City</v>
      </c>
      <c r="E679" s="1" t="s">
        <v>641</v>
      </c>
      <c r="F679" s="1" t="str">
        <f>IFERROR(__xludf.DUMMYFUNCTION("GOOGLETRANSLATE(E679, ""zh-CN"", ""en"")"),"Shouxian")</f>
        <v>Shouxian</v>
      </c>
      <c r="G679" s="1">
        <v>3.40422E11</v>
      </c>
    </row>
    <row r="680">
      <c r="A680" s="1" t="s">
        <v>588</v>
      </c>
      <c r="B680" s="1" t="str">
        <f>IFERROR(__xludf.DUMMYFUNCTION("GOOGLETRANSLATE(A606, ""zh-CN"", ""en"")"),"Zhejiang Province")</f>
        <v>Zhejiang Province</v>
      </c>
      <c r="C680" s="1" t="s">
        <v>593</v>
      </c>
      <c r="D680" s="1" t="str">
        <f>IFERROR(__xludf.DUMMYFUNCTION("GOOGLETRANSLATE(C680, ""zh-CN"", ""en"")"),"Ma'anshan City")</f>
        <v>Ma'anshan City</v>
      </c>
      <c r="E680" s="1" t="s">
        <v>24</v>
      </c>
      <c r="F680" s="1" t="str">
        <f>IFERROR(__xludf.DUMMYFUNCTION("GOOGLETRANSLATE(E680, ""zh-CN"", ""en"")"),"City area")</f>
        <v>City area</v>
      </c>
      <c r="G680" s="1">
        <v>3.40501E11</v>
      </c>
    </row>
    <row r="681">
      <c r="A681" s="1" t="s">
        <v>588</v>
      </c>
      <c r="B681" s="1" t="str">
        <f>IFERROR(__xludf.DUMMYFUNCTION("GOOGLETRANSLATE(A607, ""zh-CN"", ""en"")"),"Zhejiang Province")</f>
        <v>Zhejiang Province</v>
      </c>
      <c r="C681" s="1" t="s">
        <v>593</v>
      </c>
      <c r="D681" s="1" t="str">
        <f>IFERROR(__xludf.DUMMYFUNCTION("GOOGLETRANSLATE(C681, ""zh-CN"", ""en"")"),"Ma'anshan City")</f>
        <v>Ma'anshan City</v>
      </c>
      <c r="E681" s="1" t="s">
        <v>642</v>
      </c>
      <c r="F681" s="1" t="str">
        <f>IFERROR(__xludf.DUMMYFUNCTION("GOOGLETRANSLATE(E681, ""zh-CN"", ""en"")"),"Huashan District")</f>
        <v>Huashan District</v>
      </c>
      <c r="G681" s="1">
        <v>3.40503E11</v>
      </c>
    </row>
    <row r="682">
      <c r="A682" s="1" t="s">
        <v>588</v>
      </c>
      <c r="B682" s="1" t="str">
        <f>IFERROR(__xludf.DUMMYFUNCTION("GOOGLETRANSLATE(A608, ""zh-CN"", ""en"")"),"Zhejiang Province")</f>
        <v>Zhejiang Province</v>
      </c>
      <c r="C682" s="1" t="s">
        <v>593</v>
      </c>
      <c r="D682" s="1" t="str">
        <f>IFERROR(__xludf.DUMMYFUNCTION("GOOGLETRANSLATE(C682, ""zh-CN"", ""en"")"),"Ma'anshan City")</f>
        <v>Ma'anshan City</v>
      </c>
      <c r="E682" s="1" t="s">
        <v>643</v>
      </c>
      <c r="F682" s="1" t="str">
        <f>IFERROR(__xludf.DUMMYFUNCTION("GOOGLETRANSLATE(E682, ""zh-CN"", ""en"")"),"Yushan area")</f>
        <v>Yushan area</v>
      </c>
      <c r="G682" s="1">
        <v>3.40504E11</v>
      </c>
    </row>
    <row r="683">
      <c r="A683" s="1" t="s">
        <v>588</v>
      </c>
      <c r="B683" s="1" t="str">
        <f>IFERROR(__xludf.DUMMYFUNCTION("GOOGLETRANSLATE(A609, ""zh-CN"", ""en"")"),"Zhejiang Province")</f>
        <v>Zhejiang Province</v>
      </c>
      <c r="C683" s="1" t="s">
        <v>593</v>
      </c>
      <c r="D683" s="1" t="str">
        <f>IFERROR(__xludf.DUMMYFUNCTION("GOOGLETRANSLATE(C683, ""zh-CN"", ""en"")"),"Ma'anshan City")</f>
        <v>Ma'anshan City</v>
      </c>
      <c r="E683" s="1" t="s">
        <v>644</v>
      </c>
      <c r="F683" s="1" t="str">
        <f>IFERROR(__xludf.DUMMYFUNCTION("GOOGLETRANSLATE(E683, ""zh-CN"", ""en"")"),"Bowang District")</f>
        <v>Bowang District</v>
      </c>
      <c r="G683" s="1">
        <v>3.40506E11</v>
      </c>
    </row>
    <row r="684">
      <c r="A684" s="1" t="s">
        <v>588</v>
      </c>
      <c r="B684" s="1" t="str">
        <f>IFERROR(__xludf.DUMMYFUNCTION("GOOGLETRANSLATE(A610, ""zh-CN"", ""en"")"),"Zhejiang Province")</f>
        <v>Zhejiang Province</v>
      </c>
      <c r="C684" s="1" t="s">
        <v>593</v>
      </c>
      <c r="D684" s="1" t="str">
        <f>IFERROR(__xludf.DUMMYFUNCTION("GOOGLETRANSLATE(C684, ""zh-CN"", ""en"")"),"Ma'anshan City")</f>
        <v>Ma'anshan City</v>
      </c>
      <c r="E684" s="1" t="s">
        <v>645</v>
      </c>
      <c r="F684" s="1" t="str">
        <f>IFERROR(__xludf.DUMMYFUNCTION("GOOGLETRANSLATE(E684, ""zh-CN"", ""en"")"),"Dangtu County")</f>
        <v>Dangtu County</v>
      </c>
      <c r="G684" s="1">
        <v>3.40521E11</v>
      </c>
    </row>
    <row r="685">
      <c r="A685" s="1" t="s">
        <v>588</v>
      </c>
      <c r="B685" s="1" t="str">
        <f>IFERROR(__xludf.DUMMYFUNCTION("GOOGLETRANSLATE(A611, ""zh-CN"", ""en"")"),"Zhejiang Province")</f>
        <v>Zhejiang Province</v>
      </c>
      <c r="C685" s="1" t="s">
        <v>593</v>
      </c>
      <c r="D685" s="1" t="str">
        <f>IFERROR(__xludf.DUMMYFUNCTION("GOOGLETRANSLATE(C685, ""zh-CN"", ""en"")"),"Ma'anshan City")</f>
        <v>Ma'anshan City</v>
      </c>
      <c r="E685" s="1" t="s">
        <v>646</v>
      </c>
      <c r="F685" s="1" t="str">
        <f>IFERROR(__xludf.DUMMYFUNCTION("GOOGLETRANSLATE(E685, ""zh-CN"", ""en"")"),"Hanshan County")</f>
        <v>Hanshan County</v>
      </c>
      <c r="G685" s="1">
        <v>3.40522E11</v>
      </c>
    </row>
    <row r="686">
      <c r="A686" s="1" t="s">
        <v>588</v>
      </c>
      <c r="B686" s="1" t="str">
        <f>IFERROR(__xludf.DUMMYFUNCTION("GOOGLETRANSLATE(A612, ""zh-CN"", ""en"")"),"Zhejiang Province")</f>
        <v>Zhejiang Province</v>
      </c>
      <c r="C686" s="1" t="s">
        <v>593</v>
      </c>
      <c r="D686" s="1" t="str">
        <f>IFERROR(__xludf.DUMMYFUNCTION("GOOGLETRANSLATE(C686, ""zh-CN"", ""en"")"),"Ma'anshan City")</f>
        <v>Ma'anshan City</v>
      </c>
      <c r="E686" s="1" t="s">
        <v>647</v>
      </c>
      <c r="F686" s="1" t="str">
        <f>IFERROR(__xludf.DUMMYFUNCTION("GOOGLETRANSLATE(E686, ""zh-CN"", ""en"")"),"Peace")</f>
        <v>Peace</v>
      </c>
      <c r="G686" s="1">
        <v>3.40523E11</v>
      </c>
    </row>
    <row r="687">
      <c r="A687" s="1" t="s">
        <v>588</v>
      </c>
      <c r="B687" s="1" t="str">
        <f>IFERROR(__xludf.DUMMYFUNCTION("GOOGLETRANSLATE(A613, ""zh-CN"", ""en"")"),"Zhejiang Province")</f>
        <v>Zhejiang Province</v>
      </c>
      <c r="C687" s="1" t="s">
        <v>594</v>
      </c>
      <c r="D687" s="1" t="str">
        <f>IFERROR(__xludf.DUMMYFUNCTION("GOOGLETRANSLATE(C687, ""zh-CN"", ""en"")"),"Huaibei City")</f>
        <v>Huaibei City</v>
      </c>
      <c r="E687" s="1" t="s">
        <v>24</v>
      </c>
      <c r="F687" s="1" t="str">
        <f>IFERROR(__xludf.DUMMYFUNCTION("GOOGLETRANSLATE(E687, ""zh-CN"", ""en"")"),"City area")</f>
        <v>City area</v>
      </c>
      <c r="G687" s="1">
        <v>3.40601E11</v>
      </c>
    </row>
    <row r="688">
      <c r="A688" s="1" t="s">
        <v>588</v>
      </c>
      <c r="B688" s="1" t="str">
        <f>IFERROR(__xludf.DUMMYFUNCTION("GOOGLETRANSLATE(A614, ""zh-CN"", ""en"")"),"Zhejiang Province")</f>
        <v>Zhejiang Province</v>
      </c>
      <c r="C688" s="1" t="s">
        <v>594</v>
      </c>
      <c r="D688" s="1" t="str">
        <f>IFERROR(__xludf.DUMMYFUNCTION("GOOGLETRANSLATE(C688, ""zh-CN"", ""en"")"),"Huaibei City")</f>
        <v>Huaibei City</v>
      </c>
      <c r="E688" s="1" t="s">
        <v>648</v>
      </c>
      <c r="F688" s="1" t="str">
        <f>IFERROR(__xludf.DUMMYFUNCTION("GOOGLETRANSLATE(E688, ""zh-CN"", ""en"")"),"Duji District")</f>
        <v>Duji District</v>
      </c>
      <c r="G688" s="1">
        <v>3.40602E11</v>
      </c>
    </row>
    <row r="689">
      <c r="A689" s="1" t="s">
        <v>588</v>
      </c>
      <c r="B689" s="1" t="str">
        <f>IFERROR(__xludf.DUMMYFUNCTION("GOOGLETRANSLATE(A615, ""zh-CN"", ""en"")"),"Zhejiang Province")</f>
        <v>Zhejiang Province</v>
      </c>
      <c r="C689" s="1" t="s">
        <v>594</v>
      </c>
      <c r="D689" s="1" t="str">
        <f>IFERROR(__xludf.DUMMYFUNCTION("GOOGLETRANSLATE(C689, ""zh-CN"", ""en"")"),"Huaibei City")</f>
        <v>Huaibei City</v>
      </c>
      <c r="E689" s="1" t="s">
        <v>649</v>
      </c>
      <c r="F689" s="1" t="str">
        <f>IFERROR(__xludf.DUMMYFUNCTION("GOOGLETRANSLATE(E689, ""zh-CN"", ""en"")"),"Mountainous area")</f>
        <v>Mountainous area</v>
      </c>
      <c r="G689" s="1">
        <v>3.40603E11</v>
      </c>
    </row>
    <row r="690">
      <c r="A690" s="1" t="s">
        <v>588</v>
      </c>
      <c r="B690" s="1" t="str">
        <f>IFERROR(__xludf.DUMMYFUNCTION("GOOGLETRANSLATE(A616, ""zh-CN"", ""en"")"),"Zhejiang Province")</f>
        <v>Zhejiang Province</v>
      </c>
      <c r="C690" s="1" t="s">
        <v>594</v>
      </c>
      <c r="D690" s="1" t="str">
        <f>IFERROR(__xludf.DUMMYFUNCTION("GOOGLETRANSLATE(C690, ""zh-CN"", ""en"")"),"Huaibei City")</f>
        <v>Huaibei City</v>
      </c>
      <c r="E690" s="1" t="s">
        <v>650</v>
      </c>
      <c r="F690" s="1" t="str">
        <f>IFERROR(__xludf.DUMMYFUNCTION("GOOGLETRANSLATE(E690, ""zh-CN"", ""en"")"),"Mighty mountainous area")</f>
        <v>Mighty mountainous area</v>
      </c>
      <c r="G690" s="1">
        <v>3.40604E11</v>
      </c>
    </row>
    <row r="691">
      <c r="A691" s="1" t="s">
        <v>588</v>
      </c>
      <c r="B691" s="1" t="str">
        <f>IFERROR(__xludf.DUMMYFUNCTION("GOOGLETRANSLATE(A617, ""zh-CN"", ""en"")"),"Zhejiang Province")</f>
        <v>Zhejiang Province</v>
      </c>
      <c r="C691" s="1" t="s">
        <v>594</v>
      </c>
      <c r="D691" s="1" t="str">
        <f>IFERROR(__xludf.DUMMYFUNCTION("GOOGLETRANSLATE(C691, ""zh-CN"", ""en"")"),"Huaibei City")</f>
        <v>Huaibei City</v>
      </c>
      <c r="E691" s="1" t="s">
        <v>651</v>
      </c>
      <c r="F691" s="1" t="str">
        <f>IFERROR(__xludf.DUMMYFUNCTION("GOOGLETRANSLATE(E691, ""zh-CN"", ""en"")"),"Daixi County")</f>
        <v>Daixi County</v>
      </c>
      <c r="G691" s="1">
        <v>3.40621E11</v>
      </c>
    </row>
    <row r="692">
      <c r="A692" s="1" t="s">
        <v>588</v>
      </c>
      <c r="B692" s="1" t="str">
        <f>IFERROR(__xludf.DUMMYFUNCTION("GOOGLETRANSLATE(A618, ""zh-CN"", ""en"")"),"Zhejiang Province")</f>
        <v>Zhejiang Province</v>
      </c>
      <c r="C692" s="1" t="s">
        <v>595</v>
      </c>
      <c r="D692" s="1" t="str">
        <f>IFERROR(__xludf.DUMMYFUNCTION("GOOGLETRANSLATE(C692, ""zh-CN"", ""en"")"),"Tongling City")</f>
        <v>Tongling City</v>
      </c>
      <c r="E692" s="1" t="s">
        <v>24</v>
      </c>
      <c r="F692" s="1" t="str">
        <f>IFERROR(__xludf.DUMMYFUNCTION("GOOGLETRANSLATE(E692, ""zh-CN"", ""en"")"),"City area")</f>
        <v>City area</v>
      </c>
      <c r="G692" s="1">
        <v>3.40701E11</v>
      </c>
    </row>
    <row r="693">
      <c r="A693" s="1" t="s">
        <v>588</v>
      </c>
      <c r="B693" s="1" t="str">
        <f>IFERROR(__xludf.DUMMYFUNCTION("GOOGLETRANSLATE(A619, ""zh-CN"", ""en"")"),"Zhejiang Province")</f>
        <v>Zhejiang Province</v>
      </c>
      <c r="C693" s="1" t="s">
        <v>595</v>
      </c>
      <c r="D693" s="1" t="str">
        <f>IFERROR(__xludf.DUMMYFUNCTION("GOOGLETRANSLATE(C693, ""zh-CN"", ""en"")"),"Tongling City")</f>
        <v>Tongling City</v>
      </c>
      <c r="E693" s="1" t="s">
        <v>652</v>
      </c>
      <c r="F693" s="1" t="str">
        <f>IFERROR(__xludf.DUMMYFUNCTION("GOOGLETRANSLATE(E693, ""zh-CN"", ""en"")"),"Bronze official area")</f>
        <v>Bronze official area</v>
      </c>
      <c r="G693" s="1">
        <v>3.40705E11</v>
      </c>
    </row>
    <row r="694">
      <c r="A694" s="1" t="s">
        <v>588</v>
      </c>
      <c r="B694" s="1" t="str">
        <f>IFERROR(__xludf.DUMMYFUNCTION("GOOGLETRANSLATE(A620, ""zh-CN"", ""en"")"),"Zhejiang Province")</f>
        <v>Zhejiang Province</v>
      </c>
      <c r="C694" s="1" t="s">
        <v>595</v>
      </c>
      <c r="D694" s="1" t="str">
        <f>IFERROR(__xludf.DUMMYFUNCTION("GOOGLETRANSLATE(C694, ""zh-CN"", ""en"")"),"Tongling City")</f>
        <v>Tongling City</v>
      </c>
      <c r="E694" s="1" t="s">
        <v>653</v>
      </c>
      <c r="F694" s="1" t="str">
        <f>IFERROR(__xludf.DUMMYFUNCTION("GOOGLETRANSLATE(E694, ""zh-CN"", ""en"")"),"Yi'an District")</f>
        <v>Yi'an District</v>
      </c>
      <c r="G694" s="1">
        <v>3.40706E11</v>
      </c>
    </row>
    <row r="695">
      <c r="A695" s="1" t="s">
        <v>588</v>
      </c>
      <c r="B695" s="1" t="str">
        <f>IFERROR(__xludf.DUMMYFUNCTION("GOOGLETRANSLATE(A621, ""zh-CN"", ""en"")"),"Zhejiang Province")</f>
        <v>Zhejiang Province</v>
      </c>
      <c r="C695" s="1" t="s">
        <v>595</v>
      </c>
      <c r="D695" s="1" t="str">
        <f>IFERROR(__xludf.DUMMYFUNCTION("GOOGLETRANSLATE(C695, ""zh-CN"", ""en"")"),"Tongling City")</f>
        <v>Tongling City</v>
      </c>
      <c r="E695" s="1" t="s">
        <v>169</v>
      </c>
      <c r="F695" s="1" t="str">
        <f>IFERROR(__xludf.DUMMYFUNCTION("GOOGLETRANSLATE(E695, ""zh-CN"", ""en"")"),"suburbs")</f>
        <v>suburbs</v>
      </c>
      <c r="G695" s="1">
        <v>3.40711E11</v>
      </c>
    </row>
    <row r="696">
      <c r="A696" s="1" t="s">
        <v>588</v>
      </c>
      <c r="B696" s="1" t="str">
        <f>IFERROR(__xludf.DUMMYFUNCTION("GOOGLETRANSLATE(A622, ""zh-CN"", ""en"")"),"Anhui Province")</f>
        <v>Anhui Province</v>
      </c>
      <c r="C696" s="1" t="s">
        <v>595</v>
      </c>
      <c r="D696" s="1" t="str">
        <f>IFERROR(__xludf.DUMMYFUNCTION("GOOGLETRANSLATE(C696, ""zh-CN"", ""en"")"),"Tongling City")</f>
        <v>Tongling City</v>
      </c>
      <c r="E696" s="1" t="s">
        <v>654</v>
      </c>
      <c r="F696" s="1" t="str">
        <f>IFERROR(__xludf.DUMMYFUNCTION("GOOGLETRANSLATE(E696, ""zh-CN"", ""en"")"),"Puyang County")</f>
        <v>Puyang County</v>
      </c>
      <c r="G696" s="1">
        <v>3.40722E11</v>
      </c>
    </row>
    <row r="697">
      <c r="A697" s="1" t="s">
        <v>588</v>
      </c>
      <c r="B697" s="1" t="str">
        <f>IFERROR(__xludf.DUMMYFUNCTION("GOOGLETRANSLATE(A623, ""zh-CN"", ""en"")"),"Anhui Province")</f>
        <v>Anhui Province</v>
      </c>
      <c r="C697" s="1" t="s">
        <v>596</v>
      </c>
      <c r="D697" s="1" t="str">
        <f>IFERROR(__xludf.DUMMYFUNCTION("GOOGLETRANSLATE(C697, ""zh-CN"", ""en"")"),"Anqing City")</f>
        <v>Anqing City</v>
      </c>
      <c r="E697" s="1" t="s">
        <v>24</v>
      </c>
      <c r="F697" s="1" t="str">
        <f>IFERROR(__xludf.DUMMYFUNCTION("GOOGLETRANSLATE(E697, ""zh-CN"", ""en"")"),"City area")</f>
        <v>City area</v>
      </c>
      <c r="G697" s="1">
        <v>3.40801E11</v>
      </c>
    </row>
    <row r="698">
      <c r="A698" s="1" t="s">
        <v>588</v>
      </c>
      <c r="B698" s="1" t="str">
        <f>IFERROR(__xludf.DUMMYFUNCTION("GOOGLETRANSLATE(A624, ""zh-CN"", ""en"")"),"Anhui Province")</f>
        <v>Anhui Province</v>
      </c>
      <c r="C698" s="1" t="s">
        <v>596</v>
      </c>
      <c r="D698" s="1" t="str">
        <f>IFERROR(__xludf.DUMMYFUNCTION("GOOGLETRANSLATE(C698, ""zh-CN"", ""en"")"),"Anqing City")</f>
        <v>Anqing City</v>
      </c>
      <c r="E698" s="1" t="s">
        <v>655</v>
      </c>
      <c r="F698" s="1" t="str">
        <f>IFERROR(__xludf.DUMMYFUNCTION("GOOGLETRANSLATE(E698, ""zh-CN"", ""en"")"),"Yingjiang District")</f>
        <v>Yingjiang District</v>
      </c>
      <c r="G698" s="1">
        <v>3.40802E11</v>
      </c>
    </row>
    <row r="699">
      <c r="A699" s="1" t="s">
        <v>588</v>
      </c>
      <c r="B699" s="1" t="str">
        <f>IFERROR(__xludf.DUMMYFUNCTION("GOOGLETRANSLATE(A625, ""zh-CN"", ""en"")"),"Anhui Province")</f>
        <v>Anhui Province</v>
      </c>
      <c r="C699" s="1" t="s">
        <v>596</v>
      </c>
      <c r="D699" s="1" t="str">
        <f>IFERROR(__xludf.DUMMYFUNCTION("GOOGLETRANSLATE(C699, ""zh-CN"", ""en"")"),"Anqing City")</f>
        <v>Anqing City</v>
      </c>
      <c r="E699" s="1" t="s">
        <v>656</v>
      </c>
      <c r="F699" s="1" t="str">
        <f>IFERROR(__xludf.DUMMYFUNCTION("GOOGLETRANSLATE(E699, ""zh-CN"", ""en"")"),"Grand View")</f>
        <v>Grand View</v>
      </c>
      <c r="G699" s="1">
        <v>3.40803E11</v>
      </c>
    </row>
    <row r="700">
      <c r="A700" s="1" t="s">
        <v>588</v>
      </c>
      <c r="B700" s="1" t="str">
        <f>IFERROR(__xludf.DUMMYFUNCTION("GOOGLETRANSLATE(A626, ""zh-CN"", ""en"")"),"Anhui Province")</f>
        <v>Anhui Province</v>
      </c>
      <c r="C700" s="1" t="s">
        <v>596</v>
      </c>
      <c r="D700" s="1" t="str">
        <f>IFERROR(__xludf.DUMMYFUNCTION("GOOGLETRANSLATE(C700, ""zh-CN"", ""en"")"),"Anqing City")</f>
        <v>Anqing City</v>
      </c>
      <c r="E700" s="1" t="s">
        <v>657</v>
      </c>
      <c r="F700" s="1" t="str">
        <f>IFERROR(__xludf.DUMMYFUNCTION("GOOGLETRANSLATE(E700, ""zh-CN"", ""en"")"),"Yixiu District")</f>
        <v>Yixiu District</v>
      </c>
      <c r="G700" s="1">
        <v>3.40811E11</v>
      </c>
    </row>
    <row r="701">
      <c r="A701" s="1" t="s">
        <v>588</v>
      </c>
      <c r="B701" s="1" t="str">
        <f>IFERROR(__xludf.DUMMYFUNCTION("GOOGLETRANSLATE(A627, ""zh-CN"", ""en"")"),"Anhui Province")</f>
        <v>Anhui Province</v>
      </c>
      <c r="C701" s="1" t="s">
        <v>596</v>
      </c>
      <c r="D701" s="1" t="str">
        <f>IFERROR(__xludf.DUMMYFUNCTION("GOOGLETRANSLATE(C701, ""zh-CN"", ""en"")"),"Anqing City")</f>
        <v>Anqing City</v>
      </c>
      <c r="E701" s="1" t="s">
        <v>658</v>
      </c>
      <c r="F701" s="1" t="str">
        <f>IFERROR(__xludf.DUMMYFUNCTION("GOOGLETRANSLATE(E701, ""zh-CN"", ""en"")"),"Huaining County")</f>
        <v>Huaining County</v>
      </c>
      <c r="G701" s="1">
        <v>3.40822E11</v>
      </c>
    </row>
    <row r="702">
      <c r="A702" s="1" t="s">
        <v>588</v>
      </c>
      <c r="B702" s="1" t="str">
        <f>IFERROR(__xludf.DUMMYFUNCTION("GOOGLETRANSLATE(A628, ""zh-CN"", ""en"")"),"Anhui Province")</f>
        <v>Anhui Province</v>
      </c>
      <c r="C702" s="1" t="s">
        <v>596</v>
      </c>
      <c r="D702" s="1" t="str">
        <f>IFERROR(__xludf.DUMMYFUNCTION("GOOGLETRANSLATE(C702, ""zh-CN"", ""en"")"),"Anqing City")</f>
        <v>Anqing City</v>
      </c>
      <c r="E702" s="1" t="s">
        <v>659</v>
      </c>
      <c r="F702" s="1" t="str">
        <f>IFERROR(__xludf.DUMMYFUNCTION("GOOGLETRANSLATE(E702, ""zh-CN"", ""en"")"),"Taihu County")</f>
        <v>Taihu County</v>
      </c>
      <c r="G702" s="1">
        <v>3.40825E11</v>
      </c>
    </row>
    <row r="703">
      <c r="A703" s="1" t="s">
        <v>588</v>
      </c>
      <c r="B703" s="1" t="str">
        <f>IFERROR(__xludf.DUMMYFUNCTION("GOOGLETRANSLATE(A629, ""zh-CN"", ""en"")"),"Anhui Province")</f>
        <v>Anhui Province</v>
      </c>
      <c r="C703" s="1" t="s">
        <v>596</v>
      </c>
      <c r="D703" s="1" t="str">
        <f>IFERROR(__xludf.DUMMYFUNCTION("GOOGLETRANSLATE(C703, ""zh-CN"", ""en"")"),"Anqing City")</f>
        <v>Anqing City</v>
      </c>
      <c r="E703" s="1" t="s">
        <v>660</v>
      </c>
      <c r="F703" s="1" t="str">
        <f>IFERROR(__xludf.DUMMYFUNCTION("GOOGLETRANSLATE(E703, ""zh-CN"", ""en"")"),"Su Song County")</f>
        <v>Su Song County</v>
      </c>
      <c r="G703" s="1">
        <v>3.40826E11</v>
      </c>
    </row>
    <row r="704">
      <c r="A704" s="1" t="s">
        <v>588</v>
      </c>
      <c r="B704" s="1" t="str">
        <f>IFERROR(__xludf.DUMMYFUNCTION("GOOGLETRANSLATE(A630, ""zh-CN"", ""en"")"),"Anhui Province")</f>
        <v>Anhui Province</v>
      </c>
      <c r="C704" s="1" t="s">
        <v>596</v>
      </c>
      <c r="D704" s="1" t="str">
        <f>IFERROR(__xludf.DUMMYFUNCTION("GOOGLETRANSLATE(C704, ""zh-CN"", ""en"")"),"Anqing City")</f>
        <v>Anqing City</v>
      </c>
      <c r="E704" s="1" t="s">
        <v>661</v>
      </c>
      <c r="F704" s="1" t="str">
        <f>IFERROR(__xludf.DUMMYFUNCTION("GOOGLETRANSLATE(E704, ""zh-CN"", ""en"")"),"Wangjiang County")</f>
        <v>Wangjiang County</v>
      </c>
      <c r="G704" s="1">
        <v>3.40827E11</v>
      </c>
    </row>
    <row r="705">
      <c r="A705" s="1" t="s">
        <v>588</v>
      </c>
      <c r="B705" s="1" t="str">
        <f>IFERROR(__xludf.DUMMYFUNCTION("GOOGLETRANSLATE(A631, ""zh-CN"", ""en"")"),"Anhui Province")</f>
        <v>Anhui Province</v>
      </c>
      <c r="C705" s="1" t="s">
        <v>596</v>
      </c>
      <c r="D705" s="1" t="str">
        <f>IFERROR(__xludf.DUMMYFUNCTION("GOOGLETRANSLATE(C705, ""zh-CN"", ""en"")"),"Anqing City")</f>
        <v>Anqing City</v>
      </c>
      <c r="E705" s="1" t="s">
        <v>662</v>
      </c>
      <c r="F705" s="1" t="str">
        <f>IFERROR(__xludf.DUMMYFUNCTION("GOOGLETRANSLATE(E705, ""zh-CN"", ""en"")"),"Yuexi County")</f>
        <v>Yuexi County</v>
      </c>
      <c r="G705" s="1">
        <v>3.40828E11</v>
      </c>
    </row>
    <row r="706">
      <c r="A706" s="1" t="s">
        <v>588</v>
      </c>
      <c r="B706" s="1" t="str">
        <f>IFERROR(__xludf.DUMMYFUNCTION("GOOGLETRANSLATE(A632, ""zh-CN"", ""en"")"),"Anhui Province")</f>
        <v>Anhui Province</v>
      </c>
      <c r="C706" s="1" t="s">
        <v>596</v>
      </c>
      <c r="D706" s="1" t="str">
        <f>IFERROR(__xludf.DUMMYFUNCTION("GOOGLETRANSLATE(C706, ""zh-CN"", ""en"")"),"Anqing City")</f>
        <v>Anqing City</v>
      </c>
      <c r="E706" s="1" t="s">
        <v>663</v>
      </c>
      <c r="F706" s="1" t="str">
        <f>IFERROR(__xludf.DUMMYFUNCTION("GOOGLETRANSLATE(E706, ""zh-CN"", ""en"")"),"Anhui Anqing Economic Development Zone")</f>
        <v>Anhui Anqing Economic Development Zone</v>
      </c>
      <c r="G706" s="1">
        <v>3.40871E11</v>
      </c>
    </row>
    <row r="707">
      <c r="A707" s="1" t="s">
        <v>588</v>
      </c>
      <c r="B707" s="1" t="str">
        <f>IFERROR(__xludf.DUMMYFUNCTION("GOOGLETRANSLATE(A633, ""zh-CN"", ""en"")"),"Anhui Province")</f>
        <v>Anhui Province</v>
      </c>
      <c r="C707" s="1" t="s">
        <v>596</v>
      </c>
      <c r="D707" s="1" t="str">
        <f>IFERROR(__xludf.DUMMYFUNCTION("GOOGLETRANSLATE(C707, ""zh-CN"", ""en"")"),"Anqing City")</f>
        <v>Anqing City</v>
      </c>
      <c r="E707" s="1" t="s">
        <v>664</v>
      </c>
      <c r="F707" s="1" t="str">
        <f>IFERROR(__xludf.DUMMYFUNCTION("GOOGLETRANSLATE(E707, ""zh-CN"", ""en"")"),"Tung city")</f>
        <v>Tung city</v>
      </c>
      <c r="G707" s="1">
        <v>3.40881E11</v>
      </c>
    </row>
    <row r="708">
      <c r="A708" s="1" t="s">
        <v>588</v>
      </c>
      <c r="B708" s="1" t="str">
        <f>IFERROR(__xludf.DUMMYFUNCTION("GOOGLETRANSLATE(A634, ""zh-CN"", ""en"")"),"Anhui Province")</f>
        <v>Anhui Province</v>
      </c>
      <c r="C708" s="1" t="s">
        <v>596</v>
      </c>
      <c r="D708" s="1" t="str">
        <f>IFERROR(__xludf.DUMMYFUNCTION("GOOGLETRANSLATE(C708, ""zh-CN"", ""en"")"),"Anqing City")</f>
        <v>Anqing City</v>
      </c>
      <c r="E708" s="1" t="s">
        <v>665</v>
      </c>
      <c r="F708" s="1" t="str">
        <f>IFERROR(__xludf.DUMMYFUNCTION("GOOGLETRANSLATE(E708, ""zh-CN"", ""en"")"),"Qianshan City")</f>
        <v>Qianshan City</v>
      </c>
      <c r="G708" s="1">
        <v>3.40882E11</v>
      </c>
    </row>
    <row r="709">
      <c r="A709" s="1" t="s">
        <v>588</v>
      </c>
      <c r="B709" s="1" t="str">
        <f>IFERROR(__xludf.DUMMYFUNCTION("GOOGLETRANSLATE(A635, ""zh-CN"", ""en"")"),"Anhui Province")</f>
        <v>Anhui Province</v>
      </c>
      <c r="C709" s="1" t="s">
        <v>597</v>
      </c>
      <c r="D709" s="1" t="str">
        <f>IFERROR(__xludf.DUMMYFUNCTION("GOOGLETRANSLATE(C709, ""zh-CN"", ""en"")"),"Huangshan City")</f>
        <v>Huangshan City</v>
      </c>
      <c r="E709" s="1" t="s">
        <v>24</v>
      </c>
      <c r="F709" s="1" t="str">
        <f>IFERROR(__xludf.DUMMYFUNCTION("GOOGLETRANSLATE(E709, ""zh-CN"", ""en"")"),"City area")</f>
        <v>City area</v>
      </c>
      <c r="G709" s="1">
        <v>3.41001E11</v>
      </c>
    </row>
    <row r="710">
      <c r="A710" s="1" t="s">
        <v>588</v>
      </c>
      <c r="B710" s="1" t="str">
        <f>IFERROR(__xludf.DUMMYFUNCTION("GOOGLETRANSLATE(A636, ""zh-CN"", ""en"")"),"Anhui Province")</f>
        <v>Anhui Province</v>
      </c>
      <c r="C710" s="1" t="s">
        <v>597</v>
      </c>
      <c r="D710" s="1" t="str">
        <f>IFERROR(__xludf.DUMMYFUNCTION("GOOGLETRANSLATE(C710, ""zh-CN"", ""en"")"),"Huangshan City")</f>
        <v>Huangshan City</v>
      </c>
      <c r="E710" s="1" t="s">
        <v>666</v>
      </c>
      <c r="F710" s="1" t="str">
        <f>IFERROR(__xludf.DUMMYFUNCTION("GOOGLETRANSLATE(E710, ""zh-CN"", ""en"")"),"Tunxi District")</f>
        <v>Tunxi District</v>
      </c>
      <c r="G710" s="1">
        <v>3.41002E11</v>
      </c>
    </row>
    <row r="711">
      <c r="A711" s="1" t="s">
        <v>588</v>
      </c>
      <c r="B711" s="1" t="str">
        <f>IFERROR(__xludf.DUMMYFUNCTION("GOOGLETRANSLATE(A637, ""zh-CN"", ""en"")"),"Anhui Province")</f>
        <v>Anhui Province</v>
      </c>
      <c r="C711" s="1" t="s">
        <v>597</v>
      </c>
      <c r="D711" s="1" t="str">
        <f>IFERROR(__xludf.DUMMYFUNCTION("GOOGLETRANSLATE(C711, ""zh-CN"", ""en"")"),"Huangshan City")</f>
        <v>Huangshan City</v>
      </c>
      <c r="E711" s="1" t="s">
        <v>667</v>
      </c>
      <c r="F711" s="1" t="str">
        <f>IFERROR(__xludf.DUMMYFUNCTION("GOOGLETRANSLATE(E711, ""zh-CN"", ""en"")"),"Huangshan District")</f>
        <v>Huangshan District</v>
      </c>
      <c r="G711" s="1">
        <v>3.41003E11</v>
      </c>
    </row>
    <row r="712">
      <c r="A712" s="1" t="s">
        <v>588</v>
      </c>
      <c r="B712" s="1" t="str">
        <f>IFERROR(__xludf.DUMMYFUNCTION("GOOGLETRANSLATE(A638, ""zh-CN"", ""en"")"),"Anhui Province")</f>
        <v>Anhui Province</v>
      </c>
      <c r="C712" s="1" t="s">
        <v>597</v>
      </c>
      <c r="D712" s="1" t="str">
        <f>IFERROR(__xludf.DUMMYFUNCTION("GOOGLETRANSLATE(C712, ""zh-CN"", ""en"")"),"Huangshan City")</f>
        <v>Huangshan City</v>
      </c>
      <c r="E712" s="1" t="s">
        <v>668</v>
      </c>
      <c r="F712" s="1" t="str">
        <f>IFERROR(__xludf.DUMMYFUNCTION("GOOGLETRANSLATE(E712, ""zh-CN"", ""en"")"),"Huizhou District")</f>
        <v>Huizhou District</v>
      </c>
      <c r="G712" s="1">
        <v>3.41004E11</v>
      </c>
    </row>
    <row r="713">
      <c r="A713" s="1" t="s">
        <v>588</v>
      </c>
      <c r="B713" s="1" t="str">
        <f>IFERROR(__xludf.DUMMYFUNCTION("GOOGLETRANSLATE(A639, ""zh-CN"", ""en"")"),"Anhui Province")</f>
        <v>Anhui Province</v>
      </c>
      <c r="C713" s="1" t="s">
        <v>597</v>
      </c>
      <c r="D713" s="1" t="str">
        <f>IFERROR(__xludf.DUMMYFUNCTION("GOOGLETRANSLATE(C713, ""zh-CN"", ""en"")"),"Huangshan City")</f>
        <v>Huangshan City</v>
      </c>
      <c r="E713" s="1" t="s">
        <v>669</v>
      </c>
      <c r="F713" s="1" t="str">
        <f>IFERROR(__xludf.DUMMYFUNCTION("GOOGLETRANSLATE(E713, ""zh-CN"", ""en"")"),"Qixian County")</f>
        <v>Qixian County</v>
      </c>
      <c r="G713" s="1">
        <v>3.41021E11</v>
      </c>
    </row>
    <row r="714">
      <c r="A714" s="1" t="s">
        <v>588</v>
      </c>
      <c r="B714" s="1" t="str">
        <f>IFERROR(__xludf.DUMMYFUNCTION("GOOGLETRANSLATE(A640, ""zh-CN"", ""en"")"),"Anhui Province")</f>
        <v>Anhui Province</v>
      </c>
      <c r="C714" s="1" t="s">
        <v>597</v>
      </c>
      <c r="D714" s="1" t="str">
        <f>IFERROR(__xludf.DUMMYFUNCTION("GOOGLETRANSLATE(C714, ""zh-CN"", ""en"")"),"Huangshan City")</f>
        <v>Huangshan City</v>
      </c>
      <c r="E714" s="1" t="s">
        <v>670</v>
      </c>
      <c r="F714" s="1" t="str">
        <f>IFERROR(__xludf.DUMMYFUNCTION("GOOGLETRANSLATE(E714, ""zh-CN"", ""en"")"),"Hanging County")</f>
        <v>Hanging County</v>
      </c>
      <c r="G714" s="1">
        <v>3.41022E11</v>
      </c>
    </row>
    <row r="715">
      <c r="A715" s="1" t="s">
        <v>588</v>
      </c>
      <c r="B715" s="1" t="str">
        <f>IFERROR(__xludf.DUMMYFUNCTION("GOOGLETRANSLATE(A641, ""zh-CN"", ""en"")"),"Anhui Province")</f>
        <v>Anhui Province</v>
      </c>
      <c r="C715" s="1" t="s">
        <v>597</v>
      </c>
      <c r="D715" s="1" t="str">
        <f>IFERROR(__xludf.DUMMYFUNCTION("GOOGLETRANSLATE(C715, ""zh-CN"", ""en"")"),"Huangshan City")</f>
        <v>Huangshan City</v>
      </c>
      <c r="E715" s="1" t="s">
        <v>671</v>
      </c>
      <c r="F715" s="1" t="str">
        <f>IFERROR(__xludf.DUMMYFUNCTION("GOOGLETRANSLATE(E715, ""zh-CN"", ""en"")"),"Qixian County")</f>
        <v>Qixian County</v>
      </c>
      <c r="G715" s="1">
        <v>3.41023E11</v>
      </c>
    </row>
    <row r="716">
      <c r="A716" s="1" t="s">
        <v>588</v>
      </c>
      <c r="B716" s="1" t="str">
        <f>IFERROR(__xludf.DUMMYFUNCTION("GOOGLETRANSLATE(A642, ""zh-CN"", ""en"")"),"Anhui Province")</f>
        <v>Anhui Province</v>
      </c>
      <c r="C716" s="1" t="s">
        <v>597</v>
      </c>
      <c r="D716" s="1" t="str">
        <f>IFERROR(__xludf.DUMMYFUNCTION("GOOGLETRANSLATE(C716, ""zh-CN"", ""en"")"),"Huangshan City")</f>
        <v>Huangshan City</v>
      </c>
      <c r="E716" s="1" t="s">
        <v>672</v>
      </c>
      <c r="F716" s="1" t="str">
        <f>IFERROR(__xludf.DUMMYFUNCTION("GOOGLETRANSLATE(E716, ""zh-CN"", ""en"")"),"Qimen County")</f>
        <v>Qimen County</v>
      </c>
      <c r="G716" s="1">
        <v>3.41024E11</v>
      </c>
    </row>
    <row r="717">
      <c r="A717" s="1" t="s">
        <v>588</v>
      </c>
      <c r="B717" s="1" t="str">
        <f>IFERROR(__xludf.DUMMYFUNCTION("GOOGLETRANSLATE(A643, ""zh-CN"", ""en"")"),"Anhui Province")</f>
        <v>Anhui Province</v>
      </c>
      <c r="C717" s="1" t="s">
        <v>598</v>
      </c>
      <c r="D717" s="1" t="str">
        <f>IFERROR(__xludf.DUMMYFUNCTION("GOOGLETRANSLATE(C717, ""zh-CN"", ""en"")"),"Luzhou City")</f>
        <v>Luzhou City</v>
      </c>
      <c r="E717" s="1" t="s">
        <v>24</v>
      </c>
      <c r="F717" s="1" t="str">
        <f>IFERROR(__xludf.DUMMYFUNCTION("GOOGLETRANSLATE(E717, ""zh-CN"", ""en"")"),"City area")</f>
        <v>City area</v>
      </c>
      <c r="G717" s="1">
        <v>3.41101E11</v>
      </c>
    </row>
    <row r="718">
      <c r="A718" s="1" t="s">
        <v>588</v>
      </c>
      <c r="B718" s="1" t="str">
        <f>IFERROR(__xludf.DUMMYFUNCTION("GOOGLETRANSLATE(A644, ""zh-CN"", ""en"")"),"Anhui Province")</f>
        <v>Anhui Province</v>
      </c>
      <c r="C718" s="1" t="s">
        <v>598</v>
      </c>
      <c r="D718" s="1" t="str">
        <f>IFERROR(__xludf.DUMMYFUNCTION("GOOGLETRANSLATE(C718, ""zh-CN"", ""en"")"),"Luzhou City")</f>
        <v>Luzhou City</v>
      </c>
      <c r="E718" s="1" t="s">
        <v>673</v>
      </c>
      <c r="F718" s="1" t="str">
        <f>IFERROR(__xludf.DUMMYFUNCTION("GOOGLETRANSLATE(E718, ""zh-CN"", ""en"")"),"Langya District")</f>
        <v>Langya District</v>
      </c>
      <c r="G718" s="1">
        <v>3.41102E11</v>
      </c>
    </row>
    <row r="719">
      <c r="A719" s="1" t="s">
        <v>588</v>
      </c>
      <c r="B719" s="1" t="str">
        <f>IFERROR(__xludf.DUMMYFUNCTION("GOOGLETRANSLATE(A645, ""zh-CN"", ""en"")"),"Anhui Province")</f>
        <v>Anhui Province</v>
      </c>
      <c r="C719" s="1" t="s">
        <v>598</v>
      </c>
      <c r="D719" s="1" t="str">
        <f>IFERROR(__xludf.DUMMYFUNCTION("GOOGLETRANSLATE(C719, ""zh-CN"", ""en"")"),"Luzhou City")</f>
        <v>Luzhou City</v>
      </c>
      <c r="E719" s="1" t="s">
        <v>674</v>
      </c>
      <c r="F719" s="1" t="str">
        <f>IFERROR(__xludf.DUMMYFUNCTION("GOOGLETRANSLATE(E719, ""zh-CN"", ""en"")"),"Nanyu District")</f>
        <v>Nanyu District</v>
      </c>
      <c r="G719" s="1">
        <v>3.41103E11</v>
      </c>
    </row>
    <row r="720">
      <c r="A720" s="1" t="s">
        <v>588</v>
      </c>
      <c r="B720" s="1" t="str">
        <f>IFERROR(__xludf.DUMMYFUNCTION("GOOGLETRANSLATE(A646, ""zh-CN"", ""en"")"),"Anhui Province")</f>
        <v>Anhui Province</v>
      </c>
      <c r="C720" s="1" t="s">
        <v>598</v>
      </c>
      <c r="D720" s="1" t="str">
        <f>IFERROR(__xludf.DUMMYFUNCTION("GOOGLETRANSLATE(C720, ""zh-CN"", ""en"")"),"Luzhou City")</f>
        <v>Luzhou City</v>
      </c>
      <c r="E720" s="1" t="s">
        <v>675</v>
      </c>
      <c r="F720" s="1" t="str">
        <f>IFERROR(__xludf.DUMMYFUNCTION("GOOGLETRANSLATE(E720, ""zh-CN"", ""en"")"),"Lai'an County")</f>
        <v>Lai'an County</v>
      </c>
      <c r="G720" s="1">
        <v>3.41122E11</v>
      </c>
    </row>
    <row r="721">
      <c r="A721" s="1" t="s">
        <v>588</v>
      </c>
      <c r="B721" s="1" t="str">
        <f>IFERROR(__xludf.DUMMYFUNCTION("GOOGLETRANSLATE(A647, ""zh-CN"", ""en"")"),"Anhui Province")</f>
        <v>Anhui Province</v>
      </c>
      <c r="C721" s="1" t="s">
        <v>598</v>
      </c>
      <c r="D721" s="1" t="str">
        <f>IFERROR(__xludf.DUMMYFUNCTION("GOOGLETRANSLATE(C721, ""zh-CN"", ""en"")"),"Luzhou City")</f>
        <v>Luzhou City</v>
      </c>
      <c r="E721" s="1" t="s">
        <v>676</v>
      </c>
      <c r="F721" s="1" t="str">
        <f>IFERROR(__xludf.DUMMYFUNCTION("GOOGLETRANSLATE(E721, ""zh-CN"", ""en"")"),"Whole pepper county")</f>
        <v>Whole pepper county</v>
      </c>
      <c r="G721" s="1">
        <v>3.41124E11</v>
      </c>
    </row>
    <row r="722">
      <c r="A722" s="1" t="s">
        <v>588</v>
      </c>
      <c r="B722" s="1" t="str">
        <f>IFERROR(__xludf.DUMMYFUNCTION("GOOGLETRANSLATE(A648, ""zh-CN"", ""en"")"),"Anhui Province")</f>
        <v>Anhui Province</v>
      </c>
      <c r="C722" s="1" t="s">
        <v>598</v>
      </c>
      <c r="D722" s="1" t="str">
        <f>IFERROR(__xludf.DUMMYFUNCTION("GOOGLETRANSLATE(C722, ""zh-CN"", ""en"")"),"Luzhou City")</f>
        <v>Luzhou City</v>
      </c>
      <c r="E722" s="1" t="s">
        <v>677</v>
      </c>
      <c r="F722" s="1" t="str">
        <f>IFERROR(__xludf.DUMMYFUNCTION("GOOGLETRANSLATE(E722, ""zh-CN"", ""en"")"),"Dingyuan County")</f>
        <v>Dingyuan County</v>
      </c>
      <c r="G722" s="1">
        <v>3.41125E11</v>
      </c>
    </row>
    <row r="723">
      <c r="A723" s="1" t="s">
        <v>588</v>
      </c>
      <c r="B723" s="1" t="str">
        <f>IFERROR(__xludf.DUMMYFUNCTION("GOOGLETRANSLATE(A649, ""zh-CN"", ""en"")"),"Anhui Province")</f>
        <v>Anhui Province</v>
      </c>
      <c r="C723" s="1" t="s">
        <v>598</v>
      </c>
      <c r="D723" s="1" t="str">
        <f>IFERROR(__xludf.DUMMYFUNCTION("GOOGLETRANSLATE(C723, ""zh-CN"", ""en"")"),"Luzhou City")</f>
        <v>Luzhou City</v>
      </c>
      <c r="E723" s="1" t="s">
        <v>678</v>
      </c>
      <c r="F723" s="1" t="str">
        <f>IFERROR(__xludf.DUMMYFUNCTION("GOOGLETRANSLATE(E723, ""zh-CN"", ""en"")"),"Fengyang County")</f>
        <v>Fengyang County</v>
      </c>
      <c r="G723" s="1">
        <v>3.41126E11</v>
      </c>
    </row>
    <row r="724">
      <c r="A724" s="1" t="s">
        <v>588</v>
      </c>
      <c r="B724" s="1" t="str">
        <f>IFERROR(__xludf.DUMMYFUNCTION("GOOGLETRANSLATE(A650, ""zh-CN"", ""en"")"),"Anhui Province")</f>
        <v>Anhui Province</v>
      </c>
      <c r="C724" s="1" t="s">
        <v>598</v>
      </c>
      <c r="D724" s="1" t="str">
        <f>IFERROR(__xludf.DUMMYFUNCTION("GOOGLETRANSLATE(C724, ""zh-CN"", ""en"")"),"Luzhou City")</f>
        <v>Luzhou City</v>
      </c>
      <c r="E724" s="1" t="s">
        <v>679</v>
      </c>
      <c r="F724" s="1" t="str">
        <f>IFERROR(__xludf.DUMMYFUNCTION("GOOGLETRANSLATE(E724, ""zh-CN"", ""en"")"),"Zhongxin Su Chu Gao New Technology Industry Development Zone")</f>
        <v>Zhongxin Su Chu Gao New Technology Industry Development Zone</v>
      </c>
      <c r="G724" s="1">
        <v>3.41171E11</v>
      </c>
    </row>
    <row r="725">
      <c r="A725" s="1" t="s">
        <v>588</v>
      </c>
      <c r="B725" s="1" t="str">
        <f>IFERROR(__xludf.DUMMYFUNCTION("GOOGLETRANSLATE(A651, ""zh-CN"", ""en"")"),"Anhui Province")</f>
        <v>Anhui Province</v>
      </c>
      <c r="C725" s="1" t="s">
        <v>598</v>
      </c>
      <c r="D725" s="1" t="str">
        <f>IFERROR(__xludf.DUMMYFUNCTION("GOOGLETRANSLATE(C725, ""zh-CN"", ""en"")"),"Luzhou City")</f>
        <v>Luzhou City</v>
      </c>
      <c r="E725" s="1" t="s">
        <v>680</v>
      </c>
      <c r="F725" s="1" t="str">
        <f>IFERROR(__xludf.DUMMYFUNCTION("GOOGLETRANSLATE(E725, ""zh-CN"", ""en"")"),"Luzhou Economic and Technological Development Zone")</f>
        <v>Luzhou Economic and Technological Development Zone</v>
      </c>
      <c r="G725" s="1">
        <v>3.41172E11</v>
      </c>
    </row>
    <row r="726">
      <c r="A726" s="1" t="s">
        <v>588</v>
      </c>
      <c r="B726" s="1" t="str">
        <f>IFERROR(__xludf.DUMMYFUNCTION("GOOGLETRANSLATE(A652, ""zh-CN"", ""en"")"),"Anhui Province")</f>
        <v>Anhui Province</v>
      </c>
      <c r="C726" s="1" t="s">
        <v>598</v>
      </c>
      <c r="D726" s="1" t="str">
        <f>IFERROR(__xludf.DUMMYFUNCTION("GOOGLETRANSLATE(C726, ""zh-CN"", ""en"")"),"Luzhou City")</f>
        <v>Luzhou City</v>
      </c>
      <c r="E726" s="1" t="s">
        <v>681</v>
      </c>
      <c r="F726" s="1" t="str">
        <f>IFERROR(__xludf.DUMMYFUNCTION("GOOGLETRANSLATE(E726, ""zh-CN"", ""en"")"),"Heaven")</f>
        <v>Heaven</v>
      </c>
      <c r="G726" s="1">
        <v>3.41181E11</v>
      </c>
    </row>
    <row r="727">
      <c r="A727" s="1" t="s">
        <v>588</v>
      </c>
      <c r="B727" s="1" t="str">
        <f>IFERROR(__xludf.DUMMYFUNCTION("GOOGLETRANSLATE(A653, ""zh-CN"", ""en"")"),"Anhui Province")</f>
        <v>Anhui Province</v>
      </c>
      <c r="C727" s="1" t="s">
        <v>598</v>
      </c>
      <c r="D727" s="1" t="str">
        <f>IFERROR(__xludf.DUMMYFUNCTION("GOOGLETRANSLATE(C727, ""zh-CN"", ""en"")"),"Luzhou City")</f>
        <v>Luzhou City</v>
      </c>
      <c r="E727" s="1" t="s">
        <v>682</v>
      </c>
      <c r="F727" s="1" t="str">
        <f>IFERROR(__xludf.DUMMYFUNCTION("GOOGLETRANSLATE(E727, ""zh-CN"", ""en"")"),"Mingguang City")</f>
        <v>Mingguang City</v>
      </c>
      <c r="G727" s="1">
        <v>3.41182E11</v>
      </c>
    </row>
    <row r="728">
      <c r="A728" s="1" t="s">
        <v>588</v>
      </c>
      <c r="B728" s="1" t="str">
        <f>IFERROR(__xludf.DUMMYFUNCTION("GOOGLETRANSLATE(A654, ""zh-CN"", ""en"")"),"Anhui Province")</f>
        <v>Anhui Province</v>
      </c>
      <c r="C728" s="1" t="s">
        <v>599</v>
      </c>
      <c r="D728" s="1" t="str">
        <f>IFERROR(__xludf.DUMMYFUNCTION("GOOGLETRANSLATE(C728, ""zh-CN"", ""en"")"),"Fuyang City")</f>
        <v>Fuyang City</v>
      </c>
      <c r="E728" s="1" t="s">
        <v>24</v>
      </c>
      <c r="F728" s="1" t="str">
        <f>IFERROR(__xludf.DUMMYFUNCTION("GOOGLETRANSLATE(E728, ""zh-CN"", ""en"")"),"City area")</f>
        <v>City area</v>
      </c>
      <c r="G728" s="1">
        <v>3.41201E11</v>
      </c>
    </row>
    <row r="729">
      <c r="A729" s="1" t="s">
        <v>588</v>
      </c>
      <c r="B729" s="1" t="str">
        <f>IFERROR(__xludf.DUMMYFUNCTION("GOOGLETRANSLATE(A655, ""zh-CN"", ""en"")"),"Anhui Province")</f>
        <v>Anhui Province</v>
      </c>
      <c r="C729" s="1" t="s">
        <v>599</v>
      </c>
      <c r="D729" s="1" t="str">
        <f>IFERROR(__xludf.DUMMYFUNCTION("GOOGLETRANSLATE(C729, ""zh-CN"", ""en"")"),"Fuyang City")</f>
        <v>Fuyang City</v>
      </c>
      <c r="E729" s="1" t="s">
        <v>683</v>
      </c>
      <c r="F729" s="1" t="str">
        <f>IFERROR(__xludf.DUMMYFUNCTION("GOOGLETRANSLATE(E729, ""zh-CN"", ""en"")"),"Yingzhou District")</f>
        <v>Yingzhou District</v>
      </c>
      <c r="G729" s="1">
        <v>3.41202E11</v>
      </c>
    </row>
    <row r="730">
      <c r="A730" s="1" t="s">
        <v>588</v>
      </c>
      <c r="B730" s="1" t="str">
        <f>IFERROR(__xludf.DUMMYFUNCTION("GOOGLETRANSLATE(A656, ""zh-CN"", ""en"")"),"Anhui Province")</f>
        <v>Anhui Province</v>
      </c>
      <c r="C730" s="1" t="s">
        <v>599</v>
      </c>
      <c r="D730" s="1" t="str">
        <f>IFERROR(__xludf.DUMMYFUNCTION("GOOGLETRANSLATE(C730, ""zh-CN"", ""en"")"),"Fuyang City")</f>
        <v>Fuyang City</v>
      </c>
      <c r="E730" s="1" t="s">
        <v>684</v>
      </c>
      <c r="F730" s="1" t="str">
        <f>IFERROR(__xludf.DUMMYFUNCTION("GOOGLETRANSLATE(E730, ""zh-CN"", ""en"")"),"Yingdong District")</f>
        <v>Yingdong District</v>
      </c>
      <c r="G730" s="1">
        <v>3.41203E11</v>
      </c>
    </row>
    <row r="731">
      <c r="A731" s="1" t="s">
        <v>588</v>
      </c>
      <c r="B731" s="1" t="str">
        <f>IFERROR(__xludf.DUMMYFUNCTION("GOOGLETRANSLATE(A657, ""zh-CN"", ""en"")"),"Anhui Province")</f>
        <v>Anhui Province</v>
      </c>
      <c r="C731" s="1" t="s">
        <v>599</v>
      </c>
      <c r="D731" s="1" t="str">
        <f>IFERROR(__xludf.DUMMYFUNCTION("GOOGLETRANSLATE(C731, ""zh-CN"", ""en"")"),"Fuyang City")</f>
        <v>Fuyang City</v>
      </c>
      <c r="E731" s="1" t="s">
        <v>685</v>
      </c>
      <c r="F731" s="1" t="str">
        <f>IFERROR(__xludf.DUMMYFUNCTION("GOOGLETRANSLATE(E731, ""zh-CN"", ""en"")"),"Yingquan District")</f>
        <v>Yingquan District</v>
      </c>
      <c r="G731" s="1">
        <v>3.41204E11</v>
      </c>
    </row>
    <row r="732">
      <c r="A732" s="1" t="s">
        <v>588</v>
      </c>
      <c r="B732" s="1" t="str">
        <f>IFERROR(__xludf.DUMMYFUNCTION("GOOGLETRANSLATE(A658, ""zh-CN"", ""en"")"),"Anhui Province")</f>
        <v>Anhui Province</v>
      </c>
      <c r="C732" s="1" t="s">
        <v>599</v>
      </c>
      <c r="D732" s="1" t="str">
        <f>IFERROR(__xludf.DUMMYFUNCTION("GOOGLETRANSLATE(C732, ""zh-CN"", ""en"")"),"Fuyang City")</f>
        <v>Fuyang City</v>
      </c>
      <c r="E732" s="1" t="s">
        <v>686</v>
      </c>
      <c r="F732" s="1" t="str">
        <f>IFERROR(__xludf.DUMMYFUNCTION("GOOGLETRANSLATE(E732, ""zh-CN"", ""en"")"),"Linquan County")</f>
        <v>Linquan County</v>
      </c>
      <c r="G732" s="1">
        <v>3.41221E11</v>
      </c>
    </row>
    <row r="733">
      <c r="A733" s="1" t="s">
        <v>588</v>
      </c>
      <c r="B733" s="1" t="str">
        <f>IFERROR(__xludf.DUMMYFUNCTION("GOOGLETRANSLATE(A659, ""zh-CN"", ""en"")"),"Anhui Province")</f>
        <v>Anhui Province</v>
      </c>
      <c r="C733" s="1" t="s">
        <v>599</v>
      </c>
      <c r="D733" s="1" t="str">
        <f>IFERROR(__xludf.DUMMYFUNCTION("GOOGLETRANSLATE(C733, ""zh-CN"", ""en"")"),"Fuyang City")</f>
        <v>Fuyang City</v>
      </c>
      <c r="E733" s="1" t="s">
        <v>687</v>
      </c>
      <c r="F733" s="1" t="str">
        <f>IFERROR(__xludf.DUMMYFUNCTION("GOOGLETRANSLATE(E733, ""zh-CN"", ""en"")"),"Taihe County")</f>
        <v>Taihe County</v>
      </c>
      <c r="G733" s="1">
        <v>3.41222E11</v>
      </c>
    </row>
    <row r="734">
      <c r="A734" s="1" t="s">
        <v>588</v>
      </c>
      <c r="B734" s="1" t="str">
        <f>IFERROR(__xludf.DUMMYFUNCTION("GOOGLETRANSLATE(A660, ""zh-CN"", ""en"")"),"Anhui Province")</f>
        <v>Anhui Province</v>
      </c>
      <c r="C734" s="1" t="s">
        <v>599</v>
      </c>
      <c r="D734" s="1" t="str">
        <f>IFERROR(__xludf.DUMMYFUNCTION("GOOGLETRANSLATE(C734, ""zh-CN"", ""en"")"),"Fuyang City")</f>
        <v>Fuyang City</v>
      </c>
      <c r="E734" s="1" t="s">
        <v>688</v>
      </c>
      <c r="F734" s="1" t="str">
        <f>IFERROR(__xludf.DUMMYFUNCTION("GOOGLETRANSLATE(E734, ""zh-CN"", ""en"")"),"Funan County")</f>
        <v>Funan County</v>
      </c>
      <c r="G734" s="1">
        <v>3.41225E11</v>
      </c>
    </row>
    <row r="735">
      <c r="A735" s="1" t="s">
        <v>588</v>
      </c>
      <c r="B735" s="1" t="str">
        <f>IFERROR(__xludf.DUMMYFUNCTION("GOOGLETRANSLATE(A661, ""zh-CN"", ""en"")"),"Anhui Province")</f>
        <v>Anhui Province</v>
      </c>
      <c r="C735" s="1" t="s">
        <v>599</v>
      </c>
      <c r="D735" s="1" t="str">
        <f>IFERROR(__xludf.DUMMYFUNCTION("GOOGLETRANSLATE(C735, ""zh-CN"", ""en"")"),"Fuyang City")</f>
        <v>Fuyang City</v>
      </c>
      <c r="E735" s="1" t="s">
        <v>689</v>
      </c>
      <c r="F735" s="1" t="str">
        <f>IFERROR(__xludf.DUMMYFUNCTION("GOOGLETRANSLATE(E735, ""zh-CN"", ""en"")"),"Yingshang County")</f>
        <v>Yingshang County</v>
      </c>
      <c r="G735" s="1">
        <v>3.41226E11</v>
      </c>
    </row>
    <row r="736">
      <c r="A736" s="1" t="s">
        <v>588</v>
      </c>
      <c r="B736" s="1" t="str">
        <f>IFERROR(__xludf.DUMMYFUNCTION("GOOGLETRANSLATE(A662, ""zh-CN"", ""en"")"),"Anhui Province")</f>
        <v>Anhui Province</v>
      </c>
      <c r="C736" s="1" t="s">
        <v>599</v>
      </c>
      <c r="D736" s="1" t="str">
        <f>IFERROR(__xludf.DUMMYFUNCTION("GOOGLETRANSLATE(C736, ""zh-CN"", ""en"")"),"Fuyang City")</f>
        <v>Fuyang City</v>
      </c>
      <c r="E736" s="1" t="s">
        <v>690</v>
      </c>
      <c r="F736" s="1" t="str">
        <f>IFERROR(__xludf.DUMMYFUNCTION("GOOGLETRANSLATE(E736, ""zh-CN"", ""en"")"),"Fuyang Hefei Modern Industrial Park")</f>
        <v>Fuyang Hefei Modern Industrial Park</v>
      </c>
      <c r="G736" s="1">
        <v>3.41271E11</v>
      </c>
    </row>
    <row r="737">
      <c r="A737" s="1" t="s">
        <v>588</v>
      </c>
      <c r="B737" s="1" t="str">
        <f>IFERROR(__xludf.DUMMYFUNCTION("GOOGLETRANSLATE(A663, ""zh-CN"", ""en"")"),"Anhui Province")</f>
        <v>Anhui Province</v>
      </c>
      <c r="C737" s="1" t="s">
        <v>599</v>
      </c>
      <c r="D737" s="1" t="str">
        <f>IFERROR(__xludf.DUMMYFUNCTION("GOOGLETRANSLATE(C737, ""zh-CN"", ""en"")"),"Fuyang City")</f>
        <v>Fuyang City</v>
      </c>
      <c r="E737" s="1" t="s">
        <v>691</v>
      </c>
      <c r="F737" s="1" t="str">
        <f>IFERROR(__xludf.DUMMYFUNCTION("GOOGLETRANSLATE(E737, ""zh-CN"", ""en"")"),"Fuyang Economic and Technological Development Zone")</f>
        <v>Fuyang Economic and Technological Development Zone</v>
      </c>
      <c r="G737" s="1">
        <v>3.41272E11</v>
      </c>
    </row>
    <row r="738">
      <c r="A738" s="1" t="s">
        <v>588</v>
      </c>
      <c r="B738" s="1" t="str">
        <f>IFERROR(__xludf.DUMMYFUNCTION("GOOGLETRANSLATE(A664, ""zh-CN"", ""en"")"),"Anhui Province")</f>
        <v>Anhui Province</v>
      </c>
      <c r="C738" s="1" t="s">
        <v>599</v>
      </c>
      <c r="D738" s="1" t="str">
        <f>IFERROR(__xludf.DUMMYFUNCTION("GOOGLETRANSLATE(C738, ""zh-CN"", ""en"")"),"Fuyang City")</f>
        <v>Fuyang City</v>
      </c>
      <c r="E738" s="1" t="s">
        <v>692</v>
      </c>
      <c r="F738" s="1" t="str">
        <f>IFERROR(__xludf.DUMMYFUNCTION("GOOGLETRANSLATE(E738, ""zh-CN"", ""en"")"),"Borders")</f>
        <v>Borders</v>
      </c>
      <c r="G738" s="1">
        <v>3.41282E11</v>
      </c>
    </row>
    <row r="739">
      <c r="A739" s="1" t="s">
        <v>588</v>
      </c>
      <c r="B739" s="1" t="str">
        <f>IFERROR(__xludf.DUMMYFUNCTION("GOOGLETRANSLATE(A665, ""zh-CN"", ""en"")"),"Anhui Province")</f>
        <v>Anhui Province</v>
      </c>
      <c r="C739" s="1" t="s">
        <v>600</v>
      </c>
      <c r="D739" s="1" t="str">
        <f>IFERROR(__xludf.DUMMYFUNCTION("GOOGLETRANSLATE(C739, ""zh-CN"", ""en"")"),"Suzhou")</f>
        <v>Suzhou</v>
      </c>
      <c r="E739" s="1" t="s">
        <v>24</v>
      </c>
      <c r="F739" s="1" t="str">
        <f>IFERROR(__xludf.DUMMYFUNCTION("GOOGLETRANSLATE(E739, ""zh-CN"", ""en"")"),"City area")</f>
        <v>City area</v>
      </c>
      <c r="G739" s="1">
        <v>3.41301E11</v>
      </c>
    </row>
    <row r="740">
      <c r="A740" s="1" t="s">
        <v>588</v>
      </c>
      <c r="B740" s="1" t="str">
        <f>IFERROR(__xludf.DUMMYFUNCTION("GOOGLETRANSLATE(A666, ""zh-CN"", ""en"")"),"Anhui Province")</f>
        <v>Anhui Province</v>
      </c>
      <c r="C740" s="1" t="s">
        <v>600</v>
      </c>
      <c r="D740" s="1" t="str">
        <f>IFERROR(__xludf.DUMMYFUNCTION("GOOGLETRANSLATE(C740, ""zh-CN"", ""en"")"),"Suzhou")</f>
        <v>Suzhou</v>
      </c>
      <c r="E740" s="1" t="s">
        <v>693</v>
      </c>
      <c r="F740" s="1" t="str">
        <f>IFERROR(__xludf.DUMMYFUNCTION("GOOGLETRANSLATE(E740, ""zh-CN"", ""en"")"),"Qiaoqiao District")</f>
        <v>Qiaoqiao District</v>
      </c>
      <c r="G740" s="1">
        <v>3.41302E11</v>
      </c>
    </row>
    <row r="741">
      <c r="A741" s="1" t="s">
        <v>588</v>
      </c>
      <c r="B741" s="1" t="str">
        <f>IFERROR(__xludf.DUMMYFUNCTION("GOOGLETRANSLATE(A667, ""zh-CN"", ""en"")"),"Anhui Province")</f>
        <v>Anhui Province</v>
      </c>
      <c r="C741" s="1" t="s">
        <v>600</v>
      </c>
      <c r="D741" s="1" t="str">
        <f>IFERROR(__xludf.DUMMYFUNCTION("GOOGLETRANSLATE(C741, ""zh-CN"", ""en"")"),"Suzhou")</f>
        <v>Suzhou</v>
      </c>
      <c r="E741" s="1" t="s">
        <v>694</v>
      </c>
      <c r="F741" s="1" t="str">
        <f>IFERROR(__xludf.DUMMYFUNCTION("GOOGLETRANSLATE(E741, ""zh-CN"", ""en"")"),"Laoshan County")</f>
        <v>Laoshan County</v>
      </c>
      <c r="G741" s="1">
        <v>3.41321E11</v>
      </c>
    </row>
    <row r="742">
      <c r="A742" s="1" t="s">
        <v>588</v>
      </c>
      <c r="B742" s="1" t="str">
        <f>IFERROR(__xludf.DUMMYFUNCTION("GOOGLETRANSLATE(A668, ""zh-CN"", ""en"")"),"Anhui Province")</f>
        <v>Anhui Province</v>
      </c>
      <c r="C742" s="1" t="s">
        <v>600</v>
      </c>
      <c r="D742" s="1" t="str">
        <f>IFERROR(__xludf.DUMMYFUNCTION("GOOGLETRANSLATE(C742, ""zh-CN"", ""en"")"),"Suzhou")</f>
        <v>Suzhou</v>
      </c>
      <c r="E742" s="1" t="s">
        <v>695</v>
      </c>
      <c r="F742" s="1" t="str">
        <f>IFERROR(__xludf.DUMMYFUNCTION("GOOGLETRANSLATE(E742, ""zh-CN"", ""en"")"),"Xiaoxian")</f>
        <v>Xiaoxian</v>
      </c>
      <c r="G742" s="1">
        <v>3.41322E11</v>
      </c>
    </row>
    <row r="743">
      <c r="A743" s="1" t="s">
        <v>588</v>
      </c>
      <c r="B743" s="1" t="str">
        <f>IFERROR(__xludf.DUMMYFUNCTION("GOOGLETRANSLATE(A669, ""zh-CN"", ""en"")"),"Anhui Province")</f>
        <v>Anhui Province</v>
      </c>
      <c r="C743" s="1" t="s">
        <v>600</v>
      </c>
      <c r="D743" s="1" t="str">
        <f>IFERROR(__xludf.DUMMYFUNCTION("GOOGLETRANSLATE(C743, ""zh-CN"", ""en"")"),"Suzhou")</f>
        <v>Suzhou</v>
      </c>
      <c r="E743" s="1" t="s">
        <v>696</v>
      </c>
      <c r="F743" s="1" t="str">
        <f>IFERROR(__xludf.DUMMYFUNCTION("GOOGLETRANSLATE(E743, ""zh-CN"", ""en"")"),"Lingyu County")</f>
        <v>Lingyu County</v>
      </c>
      <c r="G743" s="1">
        <v>3.41323E11</v>
      </c>
    </row>
    <row r="744">
      <c r="A744" s="1" t="s">
        <v>588</v>
      </c>
      <c r="B744" s="1" t="str">
        <f>IFERROR(__xludf.DUMMYFUNCTION("GOOGLETRANSLATE(A670, ""zh-CN"", ""en"")"),"Anhui Province")</f>
        <v>Anhui Province</v>
      </c>
      <c r="C744" s="1" t="s">
        <v>600</v>
      </c>
      <c r="D744" s="1" t="str">
        <f>IFERROR(__xludf.DUMMYFUNCTION("GOOGLETRANSLATE(C744, ""zh-CN"", ""en"")"),"Suzhou")</f>
        <v>Suzhou</v>
      </c>
      <c r="E744" s="1" t="s">
        <v>697</v>
      </c>
      <c r="F744" s="1" t="str">
        <f>IFERROR(__xludf.DUMMYFUNCTION("GOOGLETRANSLATE(E744, ""zh-CN"", ""en"")"),"Si County")</f>
        <v>Si County</v>
      </c>
      <c r="G744" s="1">
        <v>3.41324E11</v>
      </c>
    </row>
    <row r="745">
      <c r="A745" s="1" t="s">
        <v>588</v>
      </c>
      <c r="B745" s="1" t="str">
        <f>IFERROR(__xludf.DUMMYFUNCTION("GOOGLETRANSLATE(A671, ""zh-CN"", ""en"")"),"Anhui Province")</f>
        <v>Anhui Province</v>
      </c>
      <c r="C745" s="1" t="s">
        <v>600</v>
      </c>
      <c r="D745" s="1" t="str">
        <f>IFERROR(__xludf.DUMMYFUNCTION("GOOGLETRANSLATE(C745, ""zh-CN"", ""en"")"),"Suzhou")</f>
        <v>Suzhou</v>
      </c>
      <c r="E745" s="1" t="s">
        <v>698</v>
      </c>
      <c r="F745" s="1" t="str">
        <f>IFERROR(__xludf.DUMMYFUNCTION("GOOGLETRANSLATE(E745, ""zh-CN"", ""en"")"),"Suzhou Maanshan Modern Industrial Park")</f>
        <v>Suzhou Maanshan Modern Industrial Park</v>
      </c>
      <c r="G745" s="1">
        <v>3.41371E11</v>
      </c>
    </row>
    <row r="746">
      <c r="A746" s="1" t="s">
        <v>588</v>
      </c>
      <c r="B746" s="1" t="str">
        <f>IFERROR(__xludf.DUMMYFUNCTION("GOOGLETRANSLATE(A672, ""zh-CN"", ""en"")"),"Anhui Province")</f>
        <v>Anhui Province</v>
      </c>
      <c r="C746" s="1" t="s">
        <v>600</v>
      </c>
      <c r="D746" s="1" t="str">
        <f>IFERROR(__xludf.DUMMYFUNCTION("GOOGLETRANSLATE(C746, ""zh-CN"", ""en"")"),"Suzhou")</f>
        <v>Suzhou</v>
      </c>
      <c r="E746" s="1" t="s">
        <v>699</v>
      </c>
      <c r="F746" s="1" t="str">
        <f>IFERROR(__xludf.DUMMYFUNCTION("GOOGLETRANSLATE(E746, ""zh-CN"", ""en"")"),"Suzhou Economic and Technological Development Zone")</f>
        <v>Suzhou Economic and Technological Development Zone</v>
      </c>
      <c r="G746" s="1">
        <v>3.41372E11</v>
      </c>
    </row>
    <row r="747">
      <c r="A747" s="1" t="s">
        <v>588</v>
      </c>
      <c r="B747" s="1" t="str">
        <f>IFERROR(__xludf.DUMMYFUNCTION("GOOGLETRANSLATE(A673, ""zh-CN"", ""en"")"),"Anhui Province")</f>
        <v>Anhui Province</v>
      </c>
      <c r="C747" s="1" t="s">
        <v>601</v>
      </c>
      <c r="D747" s="1" t="str">
        <f>IFERROR(__xludf.DUMMYFUNCTION("GOOGLETRANSLATE(C747, ""zh-CN"", ""en"")"),"Liu'an City")</f>
        <v>Liu'an City</v>
      </c>
      <c r="E747" s="1" t="s">
        <v>24</v>
      </c>
      <c r="F747" s="1" t="str">
        <f>IFERROR(__xludf.DUMMYFUNCTION("GOOGLETRANSLATE(E747, ""zh-CN"", ""en"")"),"City area")</f>
        <v>City area</v>
      </c>
      <c r="G747" s="1">
        <v>3.41501E11</v>
      </c>
    </row>
    <row r="748">
      <c r="A748" s="1" t="s">
        <v>588</v>
      </c>
      <c r="B748" s="1" t="str">
        <f>IFERROR(__xludf.DUMMYFUNCTION("GOOGLETRANSLATE(A674, ""zh-CN"", ""en"")"),"Anhui Province")</f>
        <v>Anhui Province</v>
      </c>
      <c r="C748" s="1" t="s">
        <v>601</v>
      </c>
      <c r="D748" s="1" t="str">
        <f>IFERROR(__xludf.DUMMYFUNCTION("GOOGLETRANSLATE(C748, ""zh-CN"", ""en"")"),"Liu'an City")</f>
        <v>Liu'an City</v>
      </c>
      <c r="E748" s="1" t="s">
        <v>700</v>
      </c>
      <c r="F748" s="1" t="str">
        <f>IFERROR(__xludf.DUMMYFUNCTION("GOOGLETRANSLATE(E748, ""zh-CN"", ""en"")"),"Jin'an District")</f>
        <v>Jin'an District</v>
      </c>
      <c r="G748" s="1">
        <v>3.41502E11</v>
      </c>
    </row>
    <row r="749">
      <c r="A749" s="1" t="s">
        <v>588</v>
      </c>
      <c r="B749" s="1" t="str">
        <f>IFERROR(__xludf.DUMMYFUNCTION("GOOGLETRANSLATE(A675, ""zh-CN"", ""en"")"),"Anhui Province")</f>
        <v>Anhui Province</v>
      </c>
      <c r="C749" s="1" t="s">
        <v>601</v>
      </c>
      <c r="D749" s="1" t="str">
        <f>IFERROR(__xludf.DUMMYFUNCTION("GOOGLETRANSLATE(C749, ""zh-CN"", ""en"")"),"Liu'an City")</f>
        <v>Liu'an City</v>
      </c>
      <c r="E749" s="1" t="s">
        <v>701</v>
      </c>
      <c r="F749" s="1" t="str">
        <f>IFERROR(__xludf.DUMMYFUNCTION("GOOGLETRANSLATE(E749, ""zh-CN"", ""en"")"),"Yu'an District")</f>
        <v>Yu'an District</v>
      </c>
      <c r="G749" s="1">
        <v>3.41503E11</v>
      </c>
    </row>
    <row r="750">
      <c r="A750" s="1" t="s">
        <v>588</v>
      </c>
      <c r="B750" s="1" t="str">
        <f>IFERROR(__xludf.DUMMYFUNCTION("GOOGLETRANSLATE(A676, ""zh-CN"", ""en"")"),"Anhui Province")</f>
        <v>Anhui Province</v>
      </c>
      <c r="C750" s="1" t="s">
        <v>601</v>
      </c>
      <c r="D750" s="1" t="str">
        <f>IFERROR(__xludf.DUMMYFUNCTION("GOOGLETRANSLATE(C750, ""zh-CN"", ""en"")"),"Liu'an City")</f>
        <v>Liu'an City</v>
      </c>
      <c r="E750" s="1" t="s">
        <v>702</v>
      </c>
      <c r="F750" s="1" t="str">
        <f>IFERROR(__xludf.DUMMYFUNCTION("GOOGLETRANSLATE(E750, ""zh-CN"", ""en"")"),"Leaf area")</f>
        <v>Leaf area</v>
      </c>
      <c r="G750" s="1">
        <v>3.41504E11</v>
      </c>
    </row>
    <row r="751">
      <c r="A751" s="1" t="s">
        <v>588</v>
      </c>
      <c r="B751" s="1" t="str">
        <f>IFERROR(__xludf.DUMMYFUNCTION("GOOGLETRANSLATE(A677, ""zh-CN"", ""en"")"),"Anhui Province")</f>
        <v>Anhui Province</v>
      </c>
      <c r="C751" s="1" t="s">
        <v>601</v>
      </c>
      <c r="D751" s="1" t="str">
        <f>IFERROR(__xludf.DUMMYFUNCTION("GOOGLETRANSLATE(C751, ""zh-CN"", ""en"")"),"Liu'an City")</f>
        <v>Liu'an City</v>
      </c>
      <c r="E751" s="1" t="s">
        <v>703</v>
      </c>
      <c r="F751" s="1" t="str">
        <f>IFERROR(__xludf.DUMMYFUNCTION("GOOGLETRANSLATE(E751, ""zh-CN"", ""en"")"),"Huoqiu County")</f>
        <v>Huoqiu County</v>
      </c>
      <c r="G751" s="1">
        <v>3.41522E11</v>
      </c>
    </row>
    <row r="752">
      <c r="A752" s="1" t="s">
        <v>588</v>
      </c>
      <c r="B752" s="1" t="str">
        <f>IFERROR(__xludf.DUMMYFUNCTION("GOOGLETRANSLATE(A678, ""zh-CN"", ""en"")"),"Anhui Province")</f>
        <v>Anhui Province</v>
      </c>
      <c r="C752" s="1" t="s">
        <v>601</v>
      </c>
      <c r="D752" s="1" t="str">
        <f>IFERROR(__xludf.DUMMYFUNCTION("GOOGLETRANSLATE(C752, ""zh-CN"", ""en"")"),"Liu'an City")</f>
        <v>Liu'an City</v>
      </c>
      <c r="E752" s="1" t="s">
        <v>704</v>
      </c>
      <c r="F752" s="1" t="str">
        <f>IFERROR(__xludf.DUMMYFUNCTION("GOOGLETRANSLATE(E752, ""zh-CN"", ""en"")"),"Shucheng County")</f>
        <v>Shucheng County</v>
      </c>
      <c r="G752" s="1">
        <v>3.41523E11</v>
      </c>
    </row>
    <row r="753">
      <c r="A753" s="1" t="s">
        <v>588</v>
      </c>
      <c r="B753" s="1" t="str">
        <f>IFERROR(__xludf.DUMMYFUNCTION("GOOGLETRANSLATE(A679, ""zh-CN"", ""en"")"),"Anhui Province")</f>
        <v>Anhui Province</v>
      </c>
      <c r="C753" s="1" t="s">
        <v>601</v>
      </c>
      <c r="D753" s="1" t="str">
        <f>IFERROR(__xludf.DUMMYFUNCTION("GOOGLETRANSLATE(C753, ""zh-CN"", ""en"")"),"Liu'an City")</f>
        <v>Liu'an City</v>
      </c>
      <c r="E753" s="1" t="s">
        <v>705</v>
      </c>
      <c r="F753" s="1" t="str">
        <f>IFERROR(__xludf.DUMMYFUNCTION("GOOGLETRANSLATE(E753, ""zh-CN"", ""en"")"),"Jinzhai County")</f>
        <v>Jinzhai County</v>
      </c>
      <c r="G753" s="1">
        <v>3.41524E11</v>
      </c>
    </row>
    <row r="754">
      <c r="A754" s="1" t="s">
        <v>588</v>
      </c>
      <c r="B754" s="1" t="str">
        <f>IFERROR(__xludf.DUMMYFUNCTION("GOOGLETRANSLATE(A680, ""zh-CN"", ""en"")"),"Anhui Province")</f>
        <v>Anhui Province</v>
      </c>
      <c r="C754" s="1" t="s">
        <v>601</v>
      </c>
      <c r="D754" s="1" t="str">
        <f>IFERROR(__xludf.DUMMYFUNCTION("GOOGLETRANSLATE(C754, ""zh-CN"", ""en"")"),"Liu'an City")</f>
        <v>Liu'an City</v>
      </c>
      <c r="E754" s="1" t="s">
        <v>706</v>
      </c>
      <c r="F754" s="1" t="str">
        <f>IFERROR(__xludf.DUMMYFUNCTION("GOOGLETRANSLATE(E754, ""zh-CN"", ""en"")"),"Huoshan County")</f>
        <v>Huoshan County</v>
      </c>
      <c r="G754" s="1">
        <v>3.41525E11</v>
      </c>
    </row>
    <row r="755">
      <c r="A755" s="1" t="s">
        <v>588</v>
      </c>
      <c r="B755" s="1" t="str">
        <f>IFERROR(__xludf.DUMMYFUNCTION("GOOGLETRANSLATE(A681, ""zh-CN"", ""en"")"),"Anhui Province")</f>
        <v>Anhui Province</v>
      </c>
      <c r="C755" s="1" t="s">
        <v>602</v>
      </c>
      <c r="D755" s="1" t="str">
        <f>IFERROR(__xludf.DUMMYFUNCTION("GOOGLETRANSLATE(C755, ""zh-CN"", ""en"")"),"Bozhou City")</f>
        <v>Bozhou City</v>
      </c>
      <c r="E755" s="1" t="s">
        <v>24</v>
      </c>
      <c r="F755" s="1" t="str">
        <f>IFERROR(__xludf.DUMMYFUNCTION("GOOGLETRANSLATE(E755, ""zh-CN"", ""en"")"),"City area")</f>
        <v>City area</v>
      </c>
      <c r="G755" s="1">
        <v>3.41601E11</v>
      </c>
    </row>
    <row r="756">
      <c r="A756" s="1" t="s">
        <v>588</v>
      </c>
      <c r="B756" s="1" t="str">
        <f>IFERROR(__xludf.DUMMYFUNCTION("GOOGLETRANSLATE(A682, ""zh-CN"", ""en"")"),"Anhui Province")</f>
        <v>Anhui Province</v>
      </c>
      <c r="C756" s="1" t="s">
        <v>602</v>
      </c>
      <c r="D756" s="1" t="str">
        <f>IFERROR(__xludf.DUMMYFUNCTION("GOOGLETRANSLATE(C756, ""zh-CN"", ""en"")"),"Bozhou City")</f>
        <v>Bozhou City</v>
      </c>
      <c r="E756" s="1" t="s">
        <v>707</v>
      </c>
      <c r="F756" s="1" t="str">
        <f>IFERROR(__xludf.DUMMYFUNCTION("GOOGLETRANSLATE(E756, ""zh-CN"", ""en"")"),"Laocheng District")</f>
        <v>Laocheng District</v>
      </c>
      <c r="G756" s="1">
        <v>3.41602E11</v>
      </c>
    </row>
    <row r="757">
      <c r="A757" s="1" t="s">
        <v>588</v>
      </c>
      <c r="B757" s="1" t="str">
        <f>IFERROR(__xludf.DUMMYFUNCTION("GOOGLETRANSLATE(A683, ""zh-CN"", ""en"")"),"Anhui Province")</f>
        <v>Anhui Province</v>
      </c>
      <c r="C757" s="1" t="s">
        <v>602</v>
      </c>
      <c r="D757" s="1" t="str">
        <f>IFERROR(__xludf.DUMMYFUNCTION("GOOGLETRANSLATE(C757, ""zh-CN"", ""en"")"),"Bozhou City")</f>
        <v>Bozhou City</v>
      </c>
      <c r="E757" s="1" t="s">
        <v>708</v>
      </c>
      <c r="F757" s="1" t="str">
        <f>IFERROR(__xludf.DUMMYFUNCTION("GOOGLETRANSLATE(E757, ""zh-CN"", ""en"")"),"Temuyang County")</f>
        <v>Temuyang County</v>
      </c>
      <c r="G757" s="1">
        <v>3.41621E11</v>
      </c>
    </row>
    <row r="758">
      <c r="A758" s="1" t="s">
        <v>588</v>
      </c>
      <c r="B758" s="1" t="str">
        <f>IFERROR(__xludf.DUMMYFUNCTION("GOOGLETRANSLATE(A684, ""zh-CN"", ""en"")"),"Anhui Province")</f>
        <v>Anhui Province</v>
      </c>
      <c r="C758" s="1" t="s">
        <v>602</v>
      </c>
      <c r="D758" s="1" t="str">
        <f>IFERROR(__xludf.DUMMYFUNCTION("GOOGLETRANSLATE(C758, ""zh-CN"", ""en"")"),"Bozhou City")</f>
        <v>Bozhou City</v>
      </c>
      <c r="E758" s="1" t="s">
        <v>709</v>
      </c>
      <c r="F758" s="1" t="str">
        <f>IFERROR(__xludf.DUMMYFUNCTION("GOOGLETRANSLATE(E758, ""zh-CN"", ""en"")"),"Mengcheng County")</f>
        <v>Mengcheng County</v>
      </c>
      <c r="G758" s="1">
        <v>3.41622E11</v>
      </c>
    </row>
    <row r="759">
      <c r="A759" s="1" t="s">
        <v>588</v>
      </c>
      <c r="B759" s="1" t="str">
        <f>IFERROR(__xludf.DUMMYFUNCTION("GOOGLETRANSLATE(A685, ""zh-CN"", ""en"")"),"Anhui Province")</f>
        <v>Anhui Province</v>
      </c>
      <c r="C759" s="1" t="s">
        <v>602</v>
      </c>
      <c r="D759" s="1" t="str">
        <f>IFERROR(__xludf.DUMMYFUNCTION("GOOGLETRANSLATE(C759, ""zh-CN"", ""en"")"),"Bozhou City")</f>
        <v>Bozhou City</v>
      </c>
      <c r="E759" s="1" t="s">
        <v>710</v>
      </c>
      <c r="F759" s="1" t="str">
        <f>IFERROR(__xludf.DUMMYFUNCTION("GOOGLETRANSLATE(E759, ""zh-CN"", ""en"")"),"Lixin County")</f>
        <v>Lixin County</v>
      </c>
      <c r="G759" s="1">
        <v>3.41623E11</v>
      </c>
    </row>
    <row r="760">
      <c r="A760" s="1" t="s">
        <v>588</v>
      </c>
      <c r="B760" s="1" t="str">
        <f>IFERROR(__xludf.DUMMYFUNCTION("GOOGLETRANSLATE(A686, ""zh-CN"", ""en"")"),"Anhui Province")</f>
        <v>Anhui Province</v>
      </c>
      <c r="C760" s="1" t="s">
        <v>603</v>
      </c>
      <c r="D760" s="1" t="str">
        <f>IFERROR(__xludf.DUMMYFUNCTION("GOOGLETRANSLATE(C760, ""zh-CN"", ""en"")"),"Chizhou")</f>
        <v>Chizhou</v>
      </c>
      <c r="E760" s="1" t="s">
        <v>24</v>
      </c>
      <c r="F760" s="1" t="str">
        <f>IFERROR(__xludf.DUMMYFUNCTION("GOOGLETRANSLATE(E760, ""zh-CN"", ""en"")"),"City area")</f>
        <v>City area</v>
      </c>
      <c r="G760" s="1">
        <v>3.41701E11</v>
      </c>
    </row>
    <row r="761">
      <c r="A761" s="1" t="s">
        <v>588</v>
      </c>
      <c r="B761" s="1" t="str">
        <f>IFERROR(__xludf.DUMMYFUNCTION("GOOGLETRANSLATE(A687, ""zh-CN"", ""en"")"),"Anhui Province")</f>
        <v>Anhui Province</v>
      </c>
      <c r="C761" s="1" t="s">
        <v>603</v>
      </c>
      <c r="D761" s="1" t="str">
        <f>IFERROR(__xludf.DUMMYFUNCTION("GOOGLETRANSLATE(C761, ""zh-CN"", ""en"")"),"Chizhou")</f>
        <v>Chizhou</v>
      </c>
      <c r="E761" s="1" t="s">
        <v>711</v>
      </c>
      <c r="F761" s="1" t="str">
        <f>IFERROR(__xludf.DUMMYFUNCTION("GOOGLETRANSLATE(E761, ""zh-CN"", ""en"")"),"Guichi District")</f>
        <v>Guichi District</v>
      </c>
      <c r="G761" s="1">
        <v>3.41702E11</v>
      </c>
    </row>
    <row r="762">
      <c r="A762" s="1" t="s">
        <v>588</v>
      </c>
      <c r="B762" s="1" t="str">
        <f>IFERROR(__xludf.DUMMYFUNCTION("GOOGLETRANSLATE(A688, ""zh-CN"", ""en"")"),"Anhui Province")</f>
        <v>Anhui Province</v>
      </c>
      <c r="C762" s="1" t="s">
        <v>603</v>
      </c>
      <c r="D762" s="1" t="str">
        <f>IFERROR(__xludf.DUMMYFUNCTION("GOOGLETRANSLATE(C762, ""zh-CN"", ""en"")"),"Chizhou")</f>
        <v>Chizhou</v>
      </c>
      <c r="E762" s="1" t="s">
        <v>712</v>
      </c>
      <c r="F762" s="1" t="str">
        <f>IFERROR(__xludf.DUMMYFUNCTION("GOOGLETRANSLATE(E762, ""zh-CN"", ""en"")"),"East to county")</f>
        <v>East to county</v>
      </c>
      <c r="G762" s="1">
        <v>3.41721E11</v>
      </c>
    </row>
    <row r="763">
      <c r="A763" s="1" t="s">
        <v>588</v>
      </c>
      <c r="B763" s="1" t="str">
        <f>IFERROR(__xludf.DUMMYFUNCTION("GOOGLETRANSLATE(A689, ""zh-CN"", ""en"")"),"Anhui Province")</f>
        <v>Anhui Province</v>
      </c>
      <c r="C763" s="1" t="s">
        <v>603</v>
      </c>
      <c r="D763" s="1" t="str">
        <f>IFERROR(__xludf.DUMMYFUNCTION("GOOGLETRANSLATE(C763, ""zh-CN"", ""en"")"),"Chizhou")</f>
        <v>Chizhou</v>
      </c>
      <c r="E763" s="1" t="s">
        <v>713</v>
      </c>
      <c r="F763" s="1" t="str">
        <f>IFERROR(__xludf.DUMMYFUNCTION("GOOGLETRANSLATE(E763, ""zh-CN"", ""en"")"),"Shitai County")</f>
        <v>Shitai County</v>
      </c>
      <c r="G763" s="1">
        <v>3.41722E11</v>
      </c>
    </row>
    <row r="764">
      <c r="A764" s="1" t="s">
        <v>588</v>
      </c>
      <c r="B764" s="1" t="str">
        <f>IFERROR(__xludf.DUMMYFUNCTION("GOOGLETRANSLATE(A690, ""zh-CN"", ""en"")"),"Anhui Province")</f>
        <v>Anhui Province</v>
      </c>
      <c r="C764" s="1" t="s">
        <v>603</v>
      </c>
      <c r="D764" s="1" t="str">
        <f>IFERROR(__xludf.DUMMYFUNCTION("GOOGLETRANSLATE(C764, ""zh-CN"", ""en"")"),"Chizhou")</f>
        <v>Chizhou</v>
      </c>
      <c r="E764" s="1" t="s">
        <v>714</v>
      </c>
      <c r="F764" s="1" t="str">
        <f>IFERROR(__xludf.DUMMYFUNCTION("GOOGLETRANSLATE(E764, ""zh-CN"", ""en"")"),"Qingyang County")</f>
        <v>Qingyang County</v>
      </c>
      <c r="G764" s="1">
        <v>3.41723E11</v>
      </c>
    </row>
    <row r="765">
      <c r="A765" s="1" t="s">
        <v>588</v>
      </c>
      <c r="B765" s="1" t="str">
        <f>IFERROR(__xludf.DUMMYFUNCTION("GOOGLETRANSLATE(A691, ""zh-CN"", ""en"")"),"Anhui Province")</f>
        <v>Anhui Province</v>
      </c>
      <c r="C765" s="1" t="s">
        <v>604</v>
      </c>
      <c r="D765" s="1" t="str">
        <f>IFERROR(__xludf.DUMMYFUNCTION("GOOGLETRANSLATE(C765, ""zh-CN"", ""en"")"),"Xuancheng")</f>
        <v>Xuancheng</v>
      </c>
      <c r="E765" s="1" t="s">
        <v>24</v>
      </c>
      <c r="F765" s="1" t="str">
        <f>IFERROR(__xludf.DUMMYFUNCTION("GOOGLETRANSLATE(E765, ""zh-CN"", ""en"")"),"City area")</f>
        <v>City area</v>
      </c>
      <c r="G765" s="1">
        <v>3.41801E11</v>
      </c>
    </row>
    <row r="766">
      <c r="A766" s="1" t="s">
        <v>588</v>
      </c>
      <c r="B766" s="1" t="str">
        <f>IFERROR(__xludf.DUMMYFUNCTION("GOOGLETRANSLATE(A692, ""zh-CN"", ""en"")"),"Anhui Province")</f>
        <v>Anhui Province</v>
      </c>
      <c r="C766" s="1" t="s">
        <v>604</v>
      </c>
      <c r="D766" s="1" t="str">
        <f>IFERROR(__xludf.DUMMYFUNCTION("GOOGLETRANSLATE(C766, ""zh-CN"", ""en"")"),"Xuancheng")</f>
        <v>Xuancheng</v>
      </c>
      <c r="E766" s="1" t="s">
        <v>715</v>
      </c>
      <c r="F766" s="1" t="str">
        <f>IFERROR(__xludf.DUMMYFUNCTION("GOOGLETRANSLATE(E766, ""zh-CN"", ""en"")"),"Xuanzhou District")</f>
        <v>Xuanzhou District</v>
      </c>
      <c r="G766" s="1">
        <v>3.41802E11</v>
      </c>
    </row>
    <row r="767">
      <c r="A767" s="1" t="s">
        <v>588</v>
      </c>
      <c r="B767" s="1" t="str">
        <f>IFERROR(__xludf.DUMMYFUNCTION("GOOGLETRANSLATE(A693, ""zh-CN"", ""en"")"),"Anhui Province")</f>
        <v>Anhui Province</v>
      </c>
      <c r="C767" s="1" t="s">
        <v>604</v>
      </c>
      <c r="D767" s="1" t="str">
        <f>IFERROR(__xludf.DUMMYFUNCTION("GOOGLETRANSLATE(C767, ""zh-CN"", ""en"")"),"Xuancheng")</f>
        <v>Xuancheng</v>
      </c>
      <c r="E767" s="1" t="s">
        <v>716</v>
      </c>
      <c r="F767" s="1" t="str">
        <f>IFERROR(__xludf.DUMMYFUNCTION("GOOGLETRANSLATE(E767, ""zh-CN"", ""en"")"),"Langxi County")</f>
        <v>Langxi County</v>
      </c>
      <c r="G767" s="1">
        <v>3.41821E11</v>
      </c>
    </row>
    <row r="768">
      <c r="A768" s="1" t="s">
        <v>588</v>
      </c>
      <c r="B768" s="1" t="str">
        <f>IFERROR(__xludf.DUMMYFUNCTION("GOOGLETRANSLATE(A694, ""zh-CN"", ""en"")"),"Anhui Province")</f>
        <v>Anhui Province</v>
      </c>
      <c r="C768" s="1" t="s">
        <v>604</v>
      </c>
      <c r="D768" s="1" t="str">
        <f>IFERROR(__xludf.DUMMYFUNCTION("GOOGLETRANSLATE(C768, ""zh-CN"", ""en"")"),"Xuancheng")</f>
        <v>Xuancheng</v>
      </c>
      <c r="E768" s="1" t="s">
        <v>717</v>
      </c>
      <c r="F768" s="1" t="str">
        <f>IFERROR(__xludf.DUMMYFUNCTION("GOOGLETRANSLATE(E768, ""zh-CN"", ""en"")"),"Xixian County")</f>
        <v>Xixian County</v>
      </c>
      <c r="G768" s="1">
        <v>3.41823E11</v>
      </c>
    </row>
    <row r="769">
      <c r="A769" s="1" t="s">
        <v>588</v>
      </c>
      <c r="B769" s="1" t="str">
        <f>IFERROR(__xludf.DUMMYFUNCTION("GOOGLETRANSLATE(A695, ""zh-CN"", ""en"")"),"Anhui Province")</f>
        <v>Anhui Province</v>
      </c>
      <c r="C769" s="1" t="s">
        <v>604</v>
      </c>
      <c r="D769" s="1" t="str">
        <f>IFERROR(__xludf.DUMMYFUNCTION("GOOGLETRANSLATE(C769, ""zh-CN"", ""en"")"),"Xuancheng")</f>
        <v>Xuancheng</v>
      </c>
      <c r="E769" s="1" t="s">
        <v>718</v>
      </c>
      <c r="F769" s="1" t="str">
        <f>IFERROR(__xludf.DUMMYFUNCTION("GOOGLETRANSLATE(E769, ""zh-CN"", ""en"")"),"Jixi County")</f>
        <v>Jixi County</v>
      </c>
      <c r="G769" s="1">
        <v>3.41824E11</v>
      </c>
    </row>
    <row r="770">
      <c r="A770" s="1" t="s">
        <v>588</v>
      </c>
      <c r="B770" s="1" t="str">
        <f>IFERROR(__xludf.DUMMYFUNCTION("GOOGLETRANSLATE(A696, ""zh-CN"", ""en"")"),"Anhui Province")</f>
        <v>Anhui Province</v>
      </c>
      <c r="C770" s="1" t="s">
        <v>604</v>
      </c>
      <c r="D770" s="1" t="str">
        <f>IFERROR(__xludf.DUMMYFUNCTION("GOOGLETRANSLATE(C770, ""zh-CN"", ""en"")"),"Xuancheng")</f>
        <v>Xuancheng</v>
      </c>
      <c r="E770" s="1" t="s">
        <v>719</v>
      </c>
      <c r="F770" s="1" t="str">
        <f>IFERROR(__xludf.DUMMYFUNCTION("GOOGLETRANSLATE(E770, ""zh-CN"", ""en"")"),"Jingde County")</f>
        <v>Jingde County</v>
      </c>
      <c r="G770" s="1">
        <v>3.41825E11</v>
      </c>
    </row>
    <row r="771">
      <c r="A771" s="1" t="s">
        <v>588</v>
      </c>
      <c r="B771" s="1" t="str">
        <f>IFERROR(__xludf.DUMMYFUNCTION("GOOGLETRANSLATE(A697, ""zh-CN"", ""en"")"),"Anhui Province")</f>
        <v>Anhui Province</v>
      </c>
      <c r="C771" s="1" t="s">
        <v>604</v>
      </c>
      <c r="D771" s="1" t="str">
        <f>IFERROR(__xludf.DUMMYFUNCTION("GOOGLETRANSLATE(C771, ""zh-CN"", ""en"")"),"Xuancheng")</f>
        <v>Xuancheng</v>
      </c>
      <c r="E771" s="1" t="s">
        <v>720</v>
      </c>
      <c r="F771" s="1" t="str">
        <f>IFERROR(__xludf.DUMMYFUNCTION("GOOGLETRANSLATE(E771, ""zh-CN"", ""en"")"),"Xuancheng Economic Development Zone")</f>
        <v>Xuancheng Economic Development Zone</v>
      </c>
      <c r="G771" s="1">
        <v>3.41871E11</v>
      </c>
    </row>
    <row r="772">
      <c r="A772" s="1" t="s">
        <v>588</v>
      </c>
      <c r="B772" s="1" t="str">
        <f>IFERROR(__xludf.DUMMYFUNCTION("GOOGLETRANSLATE(A698, ""zh-CN"", ""en"")"),"Anhui Province")</f>
        <v>Anhui Province</v>
      </c>
      <c r="C772" s="1" t="s">
        <v>604</v>
      </c>
      <c r="D772" s="1" t="str">
        <f>IFERROR(__xludf.DUMMYFUNCTION("GOOGLETRANSLATE(C772, ""zh-CN"", ""en"")"),"Xuancheng")</f>
        <v>Xuancheng</v>
      </c>
      <c r="E772" s="1" t="s">
        <v>721</v>
      </c>
      <c r="F772" s="1" t="str">
        <f>IFERROR(__xludf.DUMMYFUNCTION("GOOGLETRANSLATE(E772, ""zh-CN"", ""en"")"),"Ningguo City")</f>
        <v>Ningguo City</v>
      </c>
      <c r="G772" s="1">
        <v>3.41881E11</v>
      </c>
    </row>
    <row r="773">
      <c r="A773" s="1" t="s">
        <v>588</v>
      </c>
      <c r="B773" s="1" t="str">
        <f>IFERROR(__xludf.DUMMYFUNCTION("GOOGLETRANSLATE(A699, ""zh-CN"", ""en"")"),"Anhui Province")</f>
        <v>Anhui Province</v>
      </c>
      <c r="C773" s="1" t="s">
        <v>604</v>
      </c>
      <c r="D773" s="1" t="str">
        <f>IFERROR(__xludf.DUMMYFUNCTION("GOOGLETRANSLATE(C773, ""zh-CN"", ""en"")"),"Xuancheng")</f>
        <v>Xuancheng</v>
      </c>
      <c r="E773" s="1" t="s">
        <v>722</v>
      </c>
      <c r="F773" s="1" t="str">
        <f>IFERROR(__xludf.DUMMYFUNCTION("GOOGLETRANSLATE(E773, ""zh-CN"", ""en"")"),"Guangde City")</f>
        <v>Guangde City</v>
      </c>
      <c r="G773" s="1">
        <v>3.41882E11</v>
      </c>
    </row>
    <row r="774">
      <c r="A774" s="1" t="s">
        <v>723</v>
      </c>
      <c r="B774" s="1" t="str">
        <f>IFERROR(__xludf.DUMMYFUNCTION("GOOGLETRANSLATE(A700, ""zh-CN"", ""en"")"),"Anhui Province")</f>
        <v>Anhui Province</v>
      </c>
      <c r="C774" s="1" t="s">
        <v>8</v>
      </c>
      <c r="D774" s="1" t="str">
        <f>IFERROR(__xludf.DUMMYFUNCTION("GOOGLETRANSLATE(C774, ""zh-CN"", ""en"")"),"Na")</f>
        <v>Na</v>
      </c>
      <c r="E774" s="1" t="s">
        <v>8</v>
      </c>
      <c r="F774" s="1" t="str">
        <f>IFERROR(__xludf.DUMMYFUNCTION("GOOGLETRANSLATE(E774, ""zh-CN"", ""en"")"),"Na")</f>
        <v>Na</v>
      </c>
      <c r="G774" s="1">
        <v>44.0</v>
      </c>
    </row>
    <row r="775">
      <c r="A775" s="1" t="s">
        <v>723</v>
      </c>
      <c r="B775" s="1" t="str">
        <f>IFERROR(__xludf.DUMMYFUNCTION("GOOGLETRANSLATE(A701, ""zh-CN"", ""en"")"),"Anhui Province")</f>
        <v>Anhui Province</v>
      </c>
      <c r="C775" s="1" t="s">
        <v>724</v>
      </c>
      <c r="D775" s="1" t="str">
        <f>IFERROR(__xludf.DUMMYFUNCTION("GOOGLETRANSLATE(C775, ""zh-CN"", ""en"")"),"Guangzhou City")</f>
        <v>Guangzhou City</v>
      </c>
      <c r="E775" s="1" t="s">
        <v>8</v>
      </c>
      <c r="F775" s="1" t="str">
        <f>IFERROR(__xludf.DUMMYFUNCTION("GOOGLETRANSLATE(E775, ""zh-CN"", ""en"")"),"Na")</f>
        <v>Na</v>
      </c>
      <c r="G775" s="1">
        <v>4.401E11</v>
      </c>
    </row>
    <row r="776">
      <c r="A776" s="1" t="s">
        <v>723</v>
      </c>
      <c r="B776" s="1" t="str">
        <f>IFERROR(__xludf.DUMMYFUNCTION("GOOGLETRANSLATE(A702, ""zh-CN"", ""en"")"),"Anhui Province")</f>
        <v>Anhui Province</v>
      </c>
      <c r="C776" s="1" t="s">
        <v>725</v>
      </c>
      <c r="D776" s="1" t="str">
        <f>IFERROR(__xludf.DUMMYFUNCTION("GOOGLETRANSLATE(C776, ""zh-CN"", ""en"")"),"Shaoguan City")</f>
        <v>Shaoguan City</v>
      </c>
      <c r="E776" s="1" t="s">
        <v>8</v>
      </c>
      <c r="F776" s="1" t="str">
        <f>IFERROR(__xludf.DUMMYFUNCTION("GOOGLETRANSLATE(E776, ""zh-CN"", ""en"")"),"Na")</f>
        <v>Na</v>
      </c>
      <c r="G776" s="1">
        <v>4.402E11</v>
      </c>
    </row>
    <row r="777">
      <c r="A777" s="1" t="s">
        <v>723</v>
      </c>
      <c r="B777" s="1" t="str">
        <f>IFERROR(__xludf.DUMMYFUNCTION("GOOGLETRANSLATE(A703, ""zh-CN"", ""en"")"),"Anhui Province")</f>
        <v>Anhui Province</v>
      </c>
      <c r="C777" s="1" t="s">
        <v>726</v>
      </c>
      <c r="D777" s="1" t="str">
        <f>IFERROR(__xludf.DUMMYFUNCTION("GOOGLETRANSLATE(C777, ""zh-CN"", ""en"")"),"Shenzhen")</f>
        <v>Shenzhen</v>
      </c>
      <c r="E777" s="1" t="s">
        <v>8</v>
      </c>
      <c r="F777" s="1" t="str">
        <f>IFERROR(__xludf.DUMMYFUNCTION("GOOGLETRANSLATE(E777, ""zh-CN"", ""en"")"),"Na")</f>
        <v>Na</v>
      </c>
      <c r="G777" s="1">
        <v>4.403E11</v>
      </c>
    </row>
    <row r="778">
      <c r="A778" s="1" t="s">
        <v>723</v>
      </c>
      <c r="B778" s="1" t="str">
        <f>IFERROR(__xludf.DUMMYFUNCTION("GOOGLETRANSLATE(A704, ""zh-CN"", ""en"")"),"Anhui Province")</f>
        <v>Anhui Province</v>
      </c>
      <c r="C778" s="1" t="s">
        <v>727</v>
      </c>
      <c r="D778" s="1" t="str">
        <f>IFERROR(__xludf.DUMMYFUNCTION("GOOGLETRANSLATE(C778, ""zh-CN"", ""en"")"),"Zhuhai city")</f>
        <v>Zhuhai city</v>
      </c>
      <c r="E778" s="1" t="s">
        <v>8</v>
      </c>
      <c r="F778" s="1" t="str">
        <f>IFERROR(__xludf.DUMMYFUNCTION("GOOGLETRANSLATE(E778, ""zh-CN"", ""en"")"),"Na")</f>
        <v>Na</v>
      </c>
      <c r="G778" s="1">
        <v>4.404E11</v>
      </c>
    </row>
    <row r="779">
      <c r="A779" s="1" t="s">
        <v>723</v>
      </c>
      <c r="B779" s="1" t="str">
        <f>IFERROR(__xludf.DUMMYFUNCTION("GOOGLETRANSLATE(A705, ""zh-CN"", ""en"")"),"Anhui Province")</f>
        <v>Anhui Province</v>
      </c>
      <c r="C779" s="1" t="s">
        <v>728</v>
      </c>
      <c r="D779" s="1" t="str">
        <f>IFERROR(__xludf.DUMMYFUNCTION("GOOGLETRANSLATE(C779, ""zh-CN"", ""en"")"),"Shan Tou")</f>
        <v>Shan Tou</v>
      </c>
      <c r="E779" s="1" t="s">
        <v>8</v>
      </c>
      <c r="F779" s="1" t="str">
        <f>IFERROR(__xludf.DUMMYFUNCTION("GOOGLETRANSLATE(E779, ""zh-CN"", ""en"")"),"Na")</f>
        <v>Na</v>
      </c>
      <c r="G779" s="1">
        <v>4.405E11</v>
      </c>
    </row>
    <row r="780">
      <c r="A780" s="1" t="s">
        <v>723</v>
      </c>
      <c r="B780" s="1" t="str">
        <f>IFERROR(__xludf.DUMMYFUNCTION("GOOGLETRANSLATE(A706, ""zh-CN"", ""en"")"),"Anhui Province")</f>
        <v>Anhui Province</v>
      </c>
      <c r="C780" s="1" t="s">
        <v>729</v>
      </c>
      <c r="D780" s="1" t="str">
        <f>IFERROR(__xludf.DUMMYFUNCTION("GOOGLETRANSLATE(C780, ""zh-CN"", ""en"")"),"Foshan City")</f>
        <v>Foshan City</v>
      </c>
      <c r="E780" s="1" t="s">
        <v>8</v>
      </c>
      <c r="F780" s="1" t="str">
        <f>IFERROR(__xludf.DUMMYFUNCTION("GOOGLETRANSLATE(E780, ""zh-CN"", ""en"")"),"Na")</f>
        <v>Na</v>
      </c>
      <c r="G780" s="1">
        <v>4.406E11</v>
      </c>
    </row>
    <row r="781">
      <c r="A781" s="1" t="s">
        <v>723</v>
      </c>
      <c r="B781" s="1" t="str">
        <f>IFERROR(__xludf.DUMMYFUNCTION("GOOGLETRANSLATE(A707, ""zh-CN"", ""en"")"),"Anhui Province")</f>
        <v>Anhui Province</v>
      </c>
      <c r="C781" s="1" t="s">
        <v>730</v>
      </c>
      <c r="D781" s="1" t="str">
        <f>IFERROR(__xludf.DUMMYFUNCTION("GOOGLETRANSLATE(C781, ""zh-CN"", ""en"")"),"Jiangmen")</f>
        <v>Jiangmen</v>
      </c>
      <c r="E781" s="1" t="s">
        <v>8</v>
      </c>
      <c r="F781" s="1" t="str">
        <f>IFERROR(__xludf.DUMMYFUNCTION("GOOGLETRANSLATE(E781, ""zh-CN"", ""en"")"),"Na")</f>
        <v>Na</v>
      </c>
      <c r="G781" s="1">
        <v>4.407E11</v>
      </c>
    </row>
    <row r="782">
      <c r="A782" s="1" t="s">
        <v>723</v>
      </c>
      <c r="B782" s="1" t="str">
        <f>IFERROR(__xludf.DUMMYFUNCTION("GOOGLETRANSLATE(A708, ""zh-CN"", ""en"")"),"Anhui Province")</f>
        <v>Anhui Province</v>
      </c>
      <c r="C782" s="1" t="s">
        <v>731</v>
      </c>
      <c r="D782" s="1" t="str">
        <f>IFERROR(__xludf.DUMMYFUNCTION("GOOGLETRANSLATE(C782, ""zh-CN"", ""en"")"),"Zhangjiang City")</f>
        <v>Zhangjiang City</v>
      </c>
      <c r="E782" s="1" t="s">
        <v>8</v>
      </c>
      <c r="F782" s="1" t="str">
        <f>IFERROR(__xludf.DUMMYFUNCTION("GOOGLETRANSLATE(E782, ""zh-CN"", ""en"")"),"Na")</f>
        <v>Na</v>
      </c>
      <c r="G782" s="1">
        <v>4.408E11</v>
      </c>
    </row>
    <row r="783">
      <c r="A783" s="1" t="s">
        <v>723</v>
      </c>
      <c r="B783" s="1" t="str">
        <f>IFERROR(__xludf.DUMMYFUNCTION("GOOGLETRANSLATE(A709, ""zh-CN"", ""en"")"),"Anhui Province")</f>
        <v>Anhui Province</v>
      </c>
      <c r="C783" s="1" t="s">
        <v>732</v>
      </c>
      <c r="D783" s="1" t="str">
        <f>IFERROR(__xludf.DUMMYFUNCTION("GOOGLETRANSLATE(C783, ""zh-CN"", ""en"")"),"Maoming City")</f>
        <v>Maoming City</v>
      </c>
      <c r="E783" s="1" t="s">
        <v>8</v>
      </c>
      <c r="F783" s="1" t="str">
        <f>IFERROR(__xludf.DUMMYFUNCTION("GOOGLETRANSLATE(E783, ""zh-CN"", ""en"")"),"Na")</f>
        <v>Na</v>
      </c>
      <c r="G783" s="1">
        <v>4.409E11</v>
      </c>
    </row>
    <row r="784">
      <c r="A784" s="1" t="s">
        <v>723</v>
      </c>
      <c r="B784" s="1" t="str">
        <f>IFERROR(__xludf.DUMMYFUNCTION("GOOGLETRANSLATE(A710, ""zh-CN"", ""en"")"),"Anhui Province")</f>
        <v>Anhui Province</v>
      </c>
      <c r="C784" s="1" t="s">
        <v>733</v>
      </c>
      <c r="D784" s="1" t="str">
        <f>IFERROR(__xludf.DUMMYFUNCTION("GOOGLETRANSLATE(C784, ""zh-CN"", ""en"")"),"Zhaoqing")</f>
        <v>Zhaoqing</v>
      </c>
      <c r="E784" s="1" t="s">
        <v>8</v>
      </c>
      <c r="F784" s="1" t="str">
        <f>IFERROR(__xludf.DUMMYFUNCTION("GOOGLETRANSLATE(E784, ""zh-CN"", ""en"")"),"Na")</f>
        <v>Na</v>
      </c>
      <c r="G784" s="1">
        <v>4.412E11</v>
      </c>
    </row>
    <row r="785">
      <c r="A785" s="1" t="s">
        <v>723</v>
      </c>
      <c r="B785" s="1" t="str">
        <f>IFERROR(__xludf.DUMMYFUNCTION("GOOGLETRANSLATE(A711, ""zh-CN"", ""en"")"),"Anhui Province")</f>
        <v>Anhui Province</v>
      </c>
      <c r="C785" s="1" t="s">
        <v>734</v>
      </c>
      <c r="D785" s="1" t="str">
        <f>IFERROR(__xludf.DUMMYFUNCTION("GOOGLETRANSLATE(C785, ""zh-CN"", ""en"")"),"Huizhou")</f>
        <v>Huizhou</v>
      </c>
      <c r="E785" s="1" t="s">
        <v>8</v>
      </c>
      <c r="F785" s="1" t="str">
        <f>IFERROR(__xludf.DUMMYFUNCTION("GOOGLETRANSLATE(E785, ""zh-CN"", ""en"")"),"Na")</f>
        <v>Na</v>
      </c>
      <c r="G785" s="1">
        <v>4.413E11</v>
      </c>
    </row>
    <row r="786">
      <c r="A786" s="1" t="s">
        <v>723</v>
      </c>
      <c r="B786" s="1" t="str">
        <f>IFERROR(__xludf.DUMMYFUNCTION("GOOGLETRANSLATE(A712, ""zh-CN"", ""en"")"),"Anhui Province")</f>
        <v>Anhui Province</v>
      </c>
      <c r="C786" s="1" t="s">
        <v>735</v>
      </c>
      <c r="D786" s="1" t="str">
        <f>IFERROR(__xludf.DUMMYFUNCTION("GOOGLETRANSLATE(C786, ""zh-CN"", ""en"")"),"Meizhou")</f>
        <v>Meizhou</v>
      </c>
      <c r="E786" s="1" t="s">
        <v>8</v>
      </c>
      <c r="F786" s="1" t="str">
        <f>IFERROR(__xludf.DUMMYFUNCTION("GOOGLETRANSLATE(E786, ""zh-CN"", ""en"")"),"Na")</f>
        <v>Na</v>
      </c>
      <c r="G786" s="1">
        <v>4.414E11</v>
      </c>
    </row>
    <row r="787">
      <c r="A787" s="1" t="s">
        <v>723</v>
      </c>
      <c r="B787" s="1" t="str">
        <f>IFERROR(__xludf.DUMMYFUNCTION("GOOGLETRANSLATE(A713, ""zh-CN"", ""en"")"),"Anhui Province")</f>
        <v>Anhui Province</v>
      </c>
      <c r="C787" s="1" t="s">
        <v>736</v>
      </c>
      <c r="D787" s="1" t="str">
        <f>IFERROR(__xludf.DUMMYFUNCTION("GOOGLETRANSLATE(C787, ""zh-CN"", ""en"")"),"Shanwei City")</f>
        <v>Shanwei City</v>
      </c>
      <c r="E787" s="1" t="s">
        <v>8</v>
      </c>
      <c r="F787" s="1" t="str">
        <f>IFERROR(__xludf.DUMMYFUNCTION("GOOGLETRANSLATE(E787, ""zh-CN"", ""en"")"),"Na")</f>
        <v>Na</v>
      </c>
      <c r="G787" s="1">
        <v>4.415E11</v>
      </c>
    </row>
    <row r="788">
      <c r="A788" s="1" t="s">
        <v>723</v>
      </c>
      <c r="B788" s="1" t="str">
        <f>IFERROR(__xludf.DUMMYFUNCTION("GOOGLETRANSLATE(A714, ""zh-CN"", ""en"")"),"Anhui Province")</f>
        <v>Anhui Province</v>
      </c>
      <c r="C788" s="1" t="s">
        <v>737</v>
      </c>
      <c r="D788" s="1" t="str">
        <f>IFERROR(__xludf.DUMMYFUNCTION("GOOGLETRANSLATE(C788, ""zh-CN"", ""en"")"),"Heyuan City")</f>
        <v>Heyuan City</v>
      </c>
      <c r="E788" s="1" t="s">
        <v>8</v>
      </c>
      <c r="F788" s="1" t="str">
        <f>IFERROR(__xludf.DUMMYFUNCTION("GOOGLETRANSLATE(E788, ""zh-CN"", ""en"")"),"Na")</f>
        <v>Na</v>
      </c>
      <c r="G788" s="1">
        <v>4.416E11</v>
      </c>
    </row>
    <row r="789">
      <c r="A789" s="1" t="s">
        <v>723</v>
      </c>
      <c r="B789" s="1" t="str">
        <f>IFERROR(__xludf.DUMMYFUNCTION("GOOGLETRANSLATE(A715, ""zh-CN"", ""en"")"),"Anhui Province")</f>
        <v>Anhui Province</v>
      </c>
      <c r="C789" s="1" t="s">
        <v>738</v>
      </c>
      <c r="D789" s="1" t="str">
        <f>IFERROR(__xludf.DUMMYFUNCTION("GOOGLETRANSLATE(C789, ""zh-CN"", ""en"")"),"Yangjiang City")</f>
        <v>Yangjiang City</v>
      </c>
      <c r="E789" s="1" t="s">
        <v>8</v>
      </c>
      <c r="F789" s="1" t="str">
        <f>IFERROR(__xludf.DUMMYFUNCTION("GOOGLETRANSLATE(E789, ""zh-CN"", ""en"")"),"Na")</f>
        <v>Na</v>
      </c>
      <c r="G789" s="1">
        <v>4.417E11</v>
      </c>
    </row>
    <row r="790">
      <c r="A790" s="1" t="s">
        <v>723</v>
      </c>
      <c r="B790" s="1" t="str">
        <f>IFERROR(__xludf.DUMMYFUNCTION("GOOGLETRANSLATE(A716, ""zh-CN"", ""en"")"),"Anhui Province")</f>
        <v>Anhui Province</v>
      </c>
      <c r="C790" s="1" t="s">
        <v>739</v>
      </c>
      <c r="D790" s="1" t="str">
        <f>IFERROR(__xludf.DUMMYFUNCTION("GOOGLETRANSLATE(C790, ""zh-CN"", ""en"")"),"Qingyuan City")</f>
        <v>Qingyuan City</v>
      </c>
      <c r="E790" s="1" t="s">
        <v>8</v>
      </c>
      <c r="F790" s="1" t="str">
        <f>IFERROR(__xludf.DUMMYFUNCTION("GOOGLETRANSLATE(E790, ""zh-CN"", ""en"")"),"Na")</f>
        <v>Na</v>
      </c>
      <c r="G790" s="1">
        <v>4.418E11</v>
      </c>
    </row>
    <row r="791">
      <c r="A791" s="1" t="s">
        <v>723</v>
      </c>
      <c r="B791" s="1" t="str">
        <f>IFERROR(__xludf.DUMMYFUNCTION("GOOGLETRANSLATE(A717, ""zh-CN"", ""en"")"),"Anhui Province")</f>
        <v>Anhui Province</v>
      </c>
      <c r="C791" s="1" t="s">
        <v>740</v>
      </c>
      <c r="D791" s="1" t="str">
        <f>IFERROR(__xludf.DUMMYFUNCTION("GOOGLETRANSLATE(C791, ""zh-CN"", ""en"")"),"Dongguan city")</f>
        <v>Dongguan city</v>
      </c>
      <c r="E791" s="1" t="s">
        <v>8</v>
      </c>
      <c r="F791" s="1" t="str">
        <f>IFERROR(__xludf.DUMMYFUNCTION("GOOGLETRANSLATE(E791, ""zh-CN"", ""en"")"),"Na")</f>
        <v>Na</v>
      </c>
      <c r="G791" s="1">
        <v>4.419E11</v>
      </c>
    </row>
    <row r="792">
      <c r="A792" s="1" t="s">
        <v>723</v>
      </c>
      <c r="B792" s="1" t="str">
        <f>IFERROR(__xludf.DUMMYFUNCTION("GOOGLETRANSLATE(A718, ""zh-CN"", ""en"")"),"Anhui Province")</f>
        <v>Anhui Province</v>
      </c>
      <c r="C792" s="1" t="s">
        <v>741</v>
      </c>
      <c r="D792" s="1" t="str">
        <f>IFERROR(__xludf.DUMMYFUNCTION("GOOGLETRANSLATE(C792, ""zh-CN"", ""en"")"),"Zhongshan City")</f>
        <v>Zhongshan City</v>
      </c>
      <c r="E792" s="1" t="s">
        <v>8</v>
      </c>
      <c r="F792" s="1" t="str">
        <f>IFERROR(__xludf.DUMMYFUNCTION("GOOGLETRANSLATE(E792, ""zh-CN"", ""en"")"),"Na")</f>
        <v>Na</v>
      </c>
      <c r="G792" s="1">
        <v>4.42E11</v>
      </c>
    </row>
    <row r="793">
      <c r="A793" s="1" t="s">
        <v>723</v>
      </c>
      <c r="B793" s="1" t="str">
        <f>IFERROR(__xludf.DUMMYFUNCTION("GOOGLETRANSLATE(A719, ""zh-CN"", ""en"")"),"Anhui Province")</f>
        <v>Anhui Province</v>
      </c>
      <c r="C793" s="1" t="s">
        <v>742</v>
      </c>
      <c r="D793" s="1" t="str">
        <f>IFERROR(__xludf.DUMMYFUNCTION("GOOGLETRANSLATE(C793, ""zh-CN"", ""en"")"),"Chaozhou")</f>
        <v>Chaozhou</v>
      </c>
      <c r="E793" s="1" t="s">
        <v>8</v>
      </c>
      <c r="F793" s="1" t="str">
        <f>IFERROR(__xludf.DUMMYFUNCTION("GOOGLETRANSLATE(E793, ""zh-CN"", ""en"")"),"Na")</f>
        <v>Na</v>
      </c>
      <c r="G793" s="1">
        <v>4.451E11</v>
      </c>
    </row>
    <row r="794">
      <c r="A794" s="1" t="s">
        <v>723</v>
      </c>
      <c r="B794" s="1" t="str">
        <f>IFERROR(__xludf.DUMMYFUNCTION("GOOGLETRANSLATE(A720, ""zh-CN"", ""en"")"),"Anhui Province")</f>
        <v>Anhui Province</v>
      </c>
      <c r="C794" s="1" t="s">
        <v>743</v>
      </c>
      <c r="D794" s="1" t="str">
        <f>IFERROR(__xludf.DUMMYFUNCTION("GOOGLETRANSLATE(C794, ""zh-CN"", ""en"")"),"Jieyang City")</f>
        <v>Jieyang City</v>
      </c>
      <c r="E794" s="1" t="s">
        <v>8</v>
      </c>
      <c r="F794" s="1" t="str">
        <f>IFERROR(__xludf.DUMMYFUNCTION("GOOGLETRANSLATE(E794, ""zh-CN"", ""en"")"),"Na")</f>
        <v>Na</v>
      </c>
      <c r="G794" s="1">
        <v>4.452E11</v>
      </c>
    </row>
    <row r="795">
      <c r="A795" s="1" t="s">
        <v>723</v>
      </c>
      <c r="B795" s="1" t="str">
        <f>IFERROR(__xludf.DUMMYFUNCTION("GOOGLETRANSLATE(A721, ""zh-CN"", ""en"")"),"Anhui Province")</f>
        <v>Anhui Province</v>
      </c>
      <c r="C795" s="1" t="s">
        <v>744</v>
      </c>
      <c r="D795" s="1" t="str">
        <f>IFERROR(__xludf.DUMMYFUNCTION("GOOGLETRANSLATE(C795, ""zh-CN"", ""en"")"),"Yunfu City")</f>
        <v>Yunfu City</v>
      </c>
      <c r="E795" s="1" t="s">
        <v>8</v>
      </c>
      <c r="F795" s="1" t="str">
        <f>IFERROR(__xludf.DUMMYFUNCTION("GOOGLETRANSLATE(E795, ""zh-CN"", ""en"")"),"Na")</f>
        <v>Na</v>
      </c>
      <c r="G795" s="1">
        <v>4.453E11</v>
      </c>
    </row>
    <row r="796">
      <c r="A796" s="1" t="s">
        <v>723</v>
      </c>
      <c r="B796" s="1" t="str">
        <f>IFERROR(__xludf.DUMMYFUNCTION("GOOGLETRANSLATE(A722, ""zh-CN"", ""en"")"),"Anhui Province")</f>
        <v>Anhui Province</v>
      </c>
      <c r="C796" s="1" t="s">
        <v>724</v>
      </c>
      <c r="D796" s="1" t="str">
        <f>IFERROR(__xludf.DUMMYFUNCTION("GOOGLETRANSLATE(C796, ""zh-CN"", ""en"")"),"Guangzhou City")</f>
        <v>Guangzhou City</v>
      </c>
      <c r="E796" s="1" t="s">
        <v>24</v>
      </c>
      <c r="F796" s="1" t="str">
        <f>IFERROR(__xludf.DUMMYFUNCTION("GOOGLETRANSLATE(E796, ""zh-CN"", ""en"")"),"City area")</f>
        <v>City area</v>
      </c>
      <c r="G796" s="1">
        <v>4.40101E11</v>
      </c>
    </row>
    <row r="797">
      <c r="A797" s="1" t="s">
        <v>723</v>
      </c>
      <c r="B797" s="1" t="str">
        <f>IFERROR(__xludf.DUMMYFUNCTION("GOOGLETRANSLATE(A723, ""zh-CN"", ""en"")"),"Anhui Province")</f>
        <v>Anhui Province</v>
      </c>
      <c r="C797" s="1" t="s">
        <v>724</v>
      </c>
      <c r="D797" s="1" t="str">
        <f>IFERROR(__xludf.DUMMYFUNCTION("GOOGLETRANSLATE(C797, ""zh-CN"", ""en"")"),"Guangzhou City")</f>
        <v>Guangzhou City</v>
      </c>
      <c r="E797" s="1" t="s">
        <v>745</v>
      </c>
      <c r="F797" s="1" t="str">
        <f>IFERROR(__xludf.DUMMYFUNCTION("GOOGLETRANSLATE(E797, ""zh-CN"", ""en"")"),"Liwan District")</f>
        <v>Liwan District</v>
      </c>
      <c r="G797" s="1">
        <v>4.40103E11</v>
      </c>
    </row>
    <row r="798">
      <c r="A798" s="1" t="s">
        <v>723</v>
      </c>
      <c r="B798" s="1" t="str">
        <f>IFERROR(__xludf.DUMMYFUNCTION("GOOGLETRANSLATE(A724, ""zh-CN"", ""en"")"),"Anhui Province")</f>
        <v>Anhui Province</v>
      </c>
      <c r="C798" s="1" t="s">
        <v>724</v>
      </c>
      <c r="D798" s="1" t="str">
        <f>IFERROR(__xludf.DUMMYFUNCTION("GOOGLETRANSLATE(C798, ""zh-CN"", ""en"")"),"Guangzhou City")</f>
        <v>Guangzhou City</v>
      </c>
      <c r="E798" s="1" t="s">
        <v>746</v>
      </c>
      <c r="F798" s="1" t="str">
        <f>IFERROR(__xludf.DUMMYFUNCTION("GOOGLETRANSLATE(E798, ""zh-CN"", ""en"")"),"Yuexiu District")</f>
        <v>Yuexiu District</v>
      </c>
      <c r="G798" s="1">
        <v>4.40104E11</v>
      </c>
    </row>
    <row r="799">
      <c r="A799" s="1" t="s">
        <v>723</v>
      </c>
      <c r="B799" s="1" t="str">
        <f>IFERROR(__xludf.DUMMYFUNCTION("GOOGLETRANSLATE(A725, ""zh-CN"", ""en"")"),"Anhui Province")</f>
        <v>Anhui Province</v>
      </c>
      <c r="C799" s="1" t="s">
        <v>724</v>
      </c>
      <c r="D799" s="1" t="str">
        <f>IFERROR(__xludf.DUMMYFUNCTION("GOOGLETRANSLATE(C799, ""zh-CN"", ""en"")"),"Guangzhou City")</f>
        <v>Guangzhou City</v>
      </c>
      <c r="E799" s="1" t="s">
        <v>747</v>
      </c>
      <c r="F799" s="1" t="str">
        <f>IFERROR(__xludf.DUMMYFUNCTION("GOOGLETRANSLATE(E799, ""zh-CN"", ""en"")"),"Haizhu District")</f>
        <v>Haizhu District</v>
      </c>
      <c r="G799" s="1">
        <v>4.40105E11</v>
      </c>
    </row>
    <row r="800">
      <c r="A800" s="1" t="s">
        <v>723</v>
      </c>
      <c r="B800" s="1" t="str">
        <f>IFERROR(__xludf.DUMMYFUNCTION("GOOGLETRANSLATE(A726, ""zh-CN"", ""en"")"),"Anhui Province")</f>
        <v>Anhui Province</v>
      </c>
      <c r="C800" s="1" t="s">
        <v>724</v>
      </c>
      <c r="D800" s="1" t="str">
        <f>IFERROR(__xludf.DUMMYFUNCTION("GOOGLETRANSLATE(C800, ""zh-CN"", ""en"")"),"Guangzhou City")</f>
        <v>Guangzhou City</v>
      </c>
      <c r="E800" s="1" t="s">
        <v>748</v>
      </c>
      <c r="F800" s="1" t="str">
        <f>IFERROR(__xludf.DUMMYFUNCTION("GOOGLETRANSLATE(E800, ""zh-CN"", ""en"")"),"Tianhe District")</f>
        <v>Tianhe District</v>
      </c>
      <c r="G800" s="1">
        <v>4.40106E11</v>
      </c>
    </row>
    <row r="801">
      <c r="A801" s="1" t="s">
        <v>723</v>
      </c>
      <c r="B801" s="1" t="str">
        <f>IFERROR(__xludf.DUMMYFUNCTION("GOOGLETRANSLATE(A727, ""zh-CN"", ""en"")"),"Anhui Province")</f>
        <v>Anhui Province</v>
      </c>
      <c r="C801" s="1" t="s">
        <v>724</v>
      </c>
      <c r="D801" s="1" t="str">
        <f>IFERROR(__xludf.DUMMYFUNCTION("GOOGLETRANSLATE(C801, ""zh-CN"", ""en"")"),"Guangzhou City")</f>
        <v>Guangzhou City</v>
      </c>
      <c r="E801" s="1" t="s">
        <v>749</v>
      </c>
      <c r="F801" s="1" t="str">
        <f>IFERROR(__xludf.DUMMYFUNCTION("GOOGLETRANSLATE(E801, ""zh-CN"", ""en"")"),"Baiyun District")</f>
        <v>Baiyun District</v>
      </c>
      <c r="G801" s="1">
        <v>4.40111E11</v>
      </c>
    </row>
    <row r="802">
      <c r="A802" s="1" t="s">
        <v>723</v>
      </c>
      <c r="B802" s="1" t="str">
        <f>IFERROR(__xludf.DUMMYFUNCTION("GOOGLETRANSLATE(A728, ""zh-CN"", ""en"")"),"Anhui Province")</f>
        <v>Anhui Province</v>
      </c>
      <c r="C802" s="1" t="s">
        <v>724</v>
      </c>
      <c r="D802" s="1" t="str">
        <f>IFERROR(__xludf.DUMMYFUNCTION("GOOGLETRANSLATE(C802, ""zh-CN"", ""en"")"),"Guangzhou City")</f>
        <v>Guangzhou City</v>
      </c>
      <c r="E802" s="1" t="s">
        <v>750</v>
      </c>
      <c r="F802" s="1" t="str">
        <f>IFERROR(__xludf.DUMMYFUNCTION("GOOGLETRANSLATE(E802, ""zh-CN"", ""en"")"),"Huangpu District")</f>
        <v>Huangpu District</v>
      </c>
      <c r="G802" s="1">
        <v>4.40112E11</v>
      </c>
    </row>
    <row r="803">
      <c r="A803" s="1" t="s">
        <v>723</v>
      </c>
      <c r="B803" s="1" t="str">
        <f>IFERROR(__xludf.DUMMYFUNCTION("GOOGLETRANSLATE(A729, ""zh-CN"", ""en"")"),"Anhui Province")</f>
        <v>Anhui Province</v>
      </c>
      <c r="C803" s="1" t="s">
        <v>724</v>
      </c>
      <c r="D803" s="1" t="str">
        <f>IFERROR(__xludf.DUMMYFUNCTION("GOOGLETRANSLATE(C803, ""zh-CN"", ""en"")"),"Guangzhou City")</f>
        <v>Guangzhou City</v>
      </c>
      <c r="E803" s="1" t="s">
        <v>751</v>
      </c>
      <c r="F803" s="1" t="str">
        <f>IFERROR(__xludf.DUMMYFUNCTION("GOOGLETRANSLATE(E803, ""zh-CN"", ""en"")"),"Panyu District")</f>
        <v>Panyu District</v>
      </c>
      <c r="G803" s="1">
        <v>4.40113E11</v>
      </c>
    </row>
    <row r="804">
      <c r="A804" s="1" t="s">
        <v>723</v>
      </c>
      <c r="B804" s="1" t="str">
        <f>IFERROR(__xludf.DUMMYFUNCTION("GOOGLETRANSLATE(A730, ""zh-CN"", ""en"")"),"Anhui Province")</f>
        <v>Anhui Province</v>
      </c>
      <c r="C804" s="1" t="s">
        <v>724</v>
      </c>
      <c r="D804" s="1" t="str">
        <f>IFERROR(__xludf.DUMMYFUNCTION("GOOGLETRANSLATE(C804, ""zh-CN"", ""en"")"),"Guangzhou City")</f>
        <v>Guangzhou City</v>
      </c>
      <c r="E804" s="1" t="s">
        <v>752</v>
      </c>
      <c r="F804" s="1" t="str">
        <f>IFERROR(__xludf.DUMMYFUNCTION("GOOGLETRANSLATE(E804, ""zh-CN"", ""en"")"),"Huadu District")</f>
        <v>Huadu District</v>
      </c>
      <c r="G804" s="1">
        <v>4.40114E11</v>
      </c>
    </row>
    <row r="805">
      <c r="A805" s="1" t="s">
        <v>723</v>
      </c>
      <c r="B805" s="1" t="str">
        <f>IFERROR(__xludf.DUMMYFUNCTION("GOOGLETRANSLATE(A731, ""zh-CN"", ""en"")"),"Anhui Province")</f>
        <v>Anhui Province</v>
      </c>
      <c r="C805" s="1" t="s">
        <v>724</v>
      </c>
      <c r="D805" s="1" t="str">
        <f>IFERROR(__xludf.DUMMYFUNCTION("GOOGLETRANSLATE(C805, ""zh-CN"", ""en"")"),"Guangzhou City")</f>
        <v>Guangzhou City</v>
      </c>
      <c r="E805" s="1" t="s">
        <v>753</v>
      </c>
      <c r="F805" s="1" t="str">
        <f>IFERROR(__xludf.DUMMYFUNCTION("GOOGLETRANSLATE(E805, ""zh-CN"", ""en"")"),"Nansha District")</f>
        <v>Nansha District</v>
      </c>
      <c r="G805" s="1">
        <v>4.40115E11</v>
      </c>
    </row>
    <row r="806">
      <c r="A806" s="1" t="s">
        <v>723</v>
      </c>
      <c r="B806" s="1" t="str">
        <f>IFERROR(__xludf.DUMMYFUNCTION("GOOGLETRANSLATE(A732, ""zh-CN"", ""en"")"),"Anhui Province")</f>
        <v>Anhui Province</v>
      </c>
      <c r="C806" s="1" t="s">
        <v>724</v>
      </c>
      <c r="D806" s="1" t="str">
        <f>IFERROR(__xludf.DUMMYFUNCTION("GOOGLETRANSLATE(C806, ""zh-CN"", ""en"")"),"Guangzhou City")</f>
        <v>Guangzhou City</v>
      </c>
      <c r="E806" s="1" t="s">
        <v>754</v>
      </c>
      <c r="F806" s="1" t="str">
        <f>IFERROR(__xludf.DUMMYFUNCTION("GOOGLETRANSLATE(E806, ""zh-CN"", ""en"")"),"Conghua District")</f>
        <v>Conghua District</v>
      </c>
      <c r="G806" s="1">
        <v>4.40117E11</v>
      </c>
    </row>
    <row r="807">
      <c r="A807" s="1" t="s">
        <v>723</v>
      </c>
      <c r="B807" s="1" t="str">
        <f>IFERROR(__xludf.DUMMYFUNCTION("GOOGLETRANSLATE(A733, ""zh-CN"", ""en"")"),"Anhui Province")</f>
        <v>Anhui Province</v>
      </c>
      <c r="C807" s="1" t="s">
        <v>724</v>
      </c>
      <c r="D807" s="1" t="str">
        <f>IFERROR(__xludf.DUMMYFUNCTION("GOOGLETRANSLATE(C807, ""zh-CN"", ""en"")"),"Guangzhou City")</f>
        <v>Guangzhou City</v>
      </c>
      <c r="E807" s="1" t="s">
        <v>755</v>
      </c>
      <c r="F807" s="1" t="str">
        <f>IFERROR(__xludf.DUMMYFUNCTION("GOOGLETRANSLATE(E807, ""zh-CN"", ""en"")"),"Zengcheng District")</f>
        <v>Zengcheng District</v>
      </c>
      <c r="G807" s="1">
        <v>4.40118E11</v>
      </c>
    </row>
    <row r="808">
      <c r="A808" s="1" t="s">
        <v>723</v>
      </c>
      <c r="B808" s="1" t="str">
        <f>IFERROR(__xludf.DUMMYFUNCTION("GOOGLETRANSLATE(A734, ""zh-CN"", ""en"")"),"Anhui Province")</f>
        <v>Anhui Province</v>
      </c>
      <c r="C808" s="1" t="s">
        <v>725</v>
      </c>
      <c r="D808" s="1" t="str">
        <f>IFERROR(__xludf.DUMMYFUNCTION("GOOGLETRANSLATE(C808, ""zh-CN"", ""en"")"),"Shaoguan City")</f>
        <v>Shaoguan City</v>
      </c>
      <c r="E808" s="1" t="s">
        <v>24</v>
      </c>
      <c r="F808" s="1" t="str">
        <f>IFERROR(__xludf.DUMMYFUNCTION("GOOGLETRANSLATE(E808, ""zh-CN"", ""en"")"),"City area")</f>
        <v>City area</v>
      </c>
      <c r="G808" s="1">
        <v>4.40201E11</v>
      </c>
    </row>
    <row r="809">
      <c r="A809" s="1" t="s">
        <v>723</v>
      </c>
      <c r="B809" s="1" t="str">
        <f>IFERROR(__xludf.DUMMYFUNCTION("GOOGLETRANSLATE(A735, ""zh-CN"", ""en"")"),"Anhui Province")</f>
        <v>Anhui Province</v>
      </c>
      <c r="C809" s="1" t="s">
        <v>725</v>
      </c>
      <c r="D809" s="1" t="str">
        <f>IFERROR(__xludf.DUMMYFUNCTION("GOOGLETRANSLATE(C809, ""zh-CN"", ""en"")"),"Shaoguan City")</f>
        <v>Shaoguan City</v>
      </c>
      <c r="E809" s="1" t="s">
        <v>756</v>
      </c>
      <c r="F809" s="1" t="str">
        <f>IFERROR(__xludf.DUMMYFUNCTION("GOOGLETRANSLATE(E809, ""zh-CN"", ""en"")"),"Wujiang District")</f>
        <v>Wujiang District</v>
      </c>
      <c r="G809" s="1">
        <v>4.40203E11</v>
      </c>
    </row>
    <row r="810">
      <c r="A810" s="1" t="s">
        <v>723</v>
      </c>
      <c r="B810" s="1" t="str">
        <f>IFERROR(__xludf.DUMMYFUNCTION("GOOGLETRANSLATE(A736, ""zh-CN"", ""en"")"),"Anhui Province")</f>
        <v>Anhui Province</v>
      </c>
      <c r="C810" s="1" t="s">
        <v>725</v>
      </c>
      <c r="D810" s="1" t="str">
        <f>IFERROR(__xludf.DUMMYFUNCTION("GOOGLETRANSLATE(C810, ""zh-CN"", ""en"")"),"Shaoguan City")</f>
        <v>Shaoguan City</v>
      </c>
      <c r="E810" s="1" t="s">
        <v>757</v>
      </c>
      <c r="F810" s="1" t="str">
        <f>IFERROR(__xludf.DUMMYFUNCTION("GOOGLETRANSLATE(E810, ""zh-CN"", ""en"")"),"Yijiang District")</f>
        <v>Yijiang District</v>
      </c>
      <c r="G810" s="1">
        <v>4.40204E11</v>
      </c>
    </row>
    <row r="811">
      <c r="A811" s="1" t="s">
        <v>723</v>
      </c>
      <c r="B811" s="1" t="str">
        <f>IFERROR(__xludf.DUMMYFUNCTION("GOOGLETRANSLATE(A737, ""zh-CN"", ""en"")"),"Anhui Province")</f>
        <v>Anhui Province</v>
      </c>
      <c r="C811" s="1" t="s">
        <v>725</v>
      </c>
      <c r="D811" s="1" t="str">
        <f>IFERROR(__xludf.DUMMYFUNCTION("GOOGLETRANSLATE(C811, ""zh-CN"", ""en"")"),"Shaoguan City")</f>
        <v>Shaoguan City</v>
      </c>
      <c r="E811" s="1" t="s">
        <v>758</v>
      </c>
      <c r="F811" s="1" t="str">
        <f>IFERROR(__xludf.DUMMYFUNCTION("GOOGLETRANSLATE(E811, ""zh-CN"", ""en"")"),"Qujiang District")</f>
        <v>Qujiang District</v>
      </c>
      <c r="G811" s="1">
        <v>4.40205E11</v>
      </c>
    </row>
    <row r="812">
      <c r="A812" s="1" t="s">
        <v>723</v>
      </c>
      <c r="B812" s="1" t="str">
        <f>IFERROR(__xludf.DUMMYFUNCTION("GOOGLETRANSLATE(A738, ""zh-CN"", ""en"")"),"Anhui Province")</f>
        <v>Anhui Province</v>
      </c>
      <c r="C812" s="1" t="s">
        <v>725</v>
      </c>
      <c r="D812" s="1" t="str">
        <f>IFERROR(__xludf.DUMMYFUNCTION("GOOGLETRANSLATE(C812, ""zh-CN"", ""en"")"),"Shaoguan City")</f>
        <v>Shaoguan City</v>
      </c>
      <c r="E812" s="1" t="s">
        <v>759</v>
      </c>
      <c r="F812" s="1" t="str">
        <f>IFERROR(__xludf.DUMMYFUNCTION("GOOGLETRANSLATE(E812, ""zh-CN"", ""en"")"),"Shixing County")</f>
        <v>Shixing County</v>
      </c>
      <c r="G812" s="1">
        <v>4.40222E11</v>
      </c>
    </row>
    <row r="813">
      <c r="A813" s="1" t="s">
        <v>723</v>
      </c>
      <c r="B813" s="1" t="str">
        <f>IFERROR(__xludf.DUMMYFUNCTION("GOOGLETRANSLATE(A739, ""zh-CN"", ""en"")"),"Anhui Province")</f>
        <v>Anhui Province</v>
      </c>
      <c r="C813" s="1" t="s">
        <v>725</v>
      </c>
      <c r="D813" s="1" t="str">
        <f>IFERROR(__xludf.DUMMYFUNCTION("GOOGLETRANSLATE(C813, ""zh-CN"", ""en"")"),"Shaoguan City")</f>
        <v>Shaoguan City</v>
      </c>
      <c r="E813" s="1" t="s">
        <v>760</v>
      </c>
      <c r="F813" s="1" t="str">
        <f>IFERROR(__xludf.DUMMYFUNCTION("GOOGLETRANSLATE(E813, ""zh-CN"", ""en"")"),"Renhua County")</f>
        <v>Renhua County</v>
      </c>
      <c r="G813" s="1">
        <v>4.40224E11</v>
      </c>
    </row>
    <row r="814">
      <c r="A814" s="1" t="s">
        <v>723</v>
      </c>
      <c r="B814" s="1" t="str">
        <f>IFERROR(__xludf.DUMMYFUNCTION("GOOGLETRANSLATE(A740, ""zh-CN"", ""en"")"),"Anhui Province")</f>
        <v>Anhui Province</v>
      </c>
      <c r="C814" s="1" t="s">
        <v>725</v>
      </c>
      <c r="D814" s="1" t="str">
        <f>IFERROR(__xludf.DUMMYFUNCTION("GOOGLETRANSLATE(C814, ""zh-CN"", ""en"")"),"Shaoguan City")</f>
        <v>Shaoguan City</v>
      </c>
      <c r="E814" s="1" t="s">
        <v>761</v>
      </c>
      <c r="F814" s="1" t="str">
        <f>IFERROR(__xludf.DUMMYFUNCTION("GOOGLETRANSLATE(E814, ""zh-CN"", ""en"")"),"Wengyuan County")</f>
        <v>Wengyuan County</v>
      </c>
      <c r="G814" s="1">
        <v>4.40229E11</v>
      </c>
    </row>
    <row r="815">
      <c r="A815" s="1" t="s">
        <v>723</v>
      </c>
      <c r="B815" s="1" t="str">
        <f>IFERROR(__xludf.DUMMYFUNCTION("GOOGLETRANSLATE(A741, ""zh-CN"", ""en"")"),"Anhui Province")</f>
        <v>Anhui Province</v>
      </c>
      <c r="C815" s="1" t="s">
        <v>725</v>
      </c>
      <c r="D815" s="1" t="str">
        <f>IFERROR(__xludf.DUMMYFUNCTION("GOOGLETRANSLATE(C815, ""zh-CN"", ""en"")"),"Shaoguan City")</f>
        <v>Shaoguan City</v>
      </c>
      <c r="E815" s="1" t="s">
        <v>762</v>
      </c>
      <c r="F815" s="1" t="str">
        <f>IFERROR(__xludf.DUMMYFUNCTION("GOOGLETRANSLATE(E815, ""zh-CN"", ""en"")"),"Ruyuan Yao Autonomous County")</f>
        <v>Ruyuan Yao Autonomous County</v>
      </c>
      <c r="G815" s="1">
        <v>4.40232E11</v>
      </c>
    </row>
    <row r="816">
      <c r="A816" s="1" t="s">
        <v>723</v>
      </c>
      <c r="B816" s="1" t="str">
        <f>IFERROR(__xludf.DUMMYFUNCTION("GOOGLETRANSLATE(A742, ""zh-CN"", ""en"")"),"Anhui Province")</f>
        <v>Anhui Province</v>
      </c>
      <c r="C816" s="1" t="s">
        <v>725</v>
      </c>
      <c r="D816" s="1" t="str">
        <f>IFERROR(__xludf.DUMMYFUNCTION("GOOGLETRANSLATE(C816, ""zh-CN"", ""en"")"),"Shaoguan City")</f>
        <v>Shaoguan City</v>
      </c>
      <c r="E816" s="1" t="s">
        <v>763</v>
      </c>
      <c r="F816" s="1" t="str">
        <f>IFERROR(__xludf.DUMMYFUNCTION("GOOGLETRANSLATE(E816, ""zh-CN"", ""en"")"),"Xinfeng County")</f>
        <v>Xinfeng County</v>
      </c>
      <c r="G816" s="1">
        <v>4.40233E11</v>
      </c>
    </row>
    <row r="817">
      <c r="A817" s="1" t="s">
        <v>723</v>
      </c>
      <c r="B817" s="1" t="str">
        <f>IFERROR(__xludf.DUMMYFUNCTION("GOOGLETRANSLATE(A743, ""zh-CN"", ""en"")"),"Anhui Province")</f>
        <v>Anhui Province</v>
      </c>
      <c r="C817" s="1" t="s">
        <v>725</v>
      </c>
      <c r="D817" s="1" t="str">
        <f>IFERROR(__xludf.DUMMYFUNCTION("GOOGLETRANSLATE(C817, ""zh-CN"", ""en"")"),"Shaoguan City")</f>
        <v>Shaoguan City</v>
      </c>
      <c r="E817" s="1" t="s">
        <v>764</v>
      </c>
      <c r="F817" s="1" t="str">
        <f>IFERROR(__xludf.DUMMYFUNCTION("GOOGLETRANSLATE(E817, ""zh-CN"", ""en"")"),"Lechang")</f>
        <v>Lechang</v>
      </c>
      <c r="G817" s="1">
        <v>4.40281E11</v>
      </c>
    </row>
    <row r="818">
      <c r="A818" s="1" t="s">
        <v>723</v>
      </c>
      <c r="B818" s="1" t="str">
        <f>IFERROR(__xludf.DUMMYFUNCTION("GOOGLETRANSLATE(A744, ""zh-CN"", ""en"")"),"Anhui Province")</f>
        <v>Anhui Province</v>
      </c>
      <c r="C818" s="1" t="s">
        <v>725</v>
      </c>
      <c r="D818" s="1" t="str">
        <f>IFERROR(__xludf.DUMMYFUNCTION("GOOGLETRANSLATE(C818, ""zh-CN"", ""en"")"),"Shaoguan City")</f>
        <v>Shaoguan City</v>
      </c>
      <c r="E818" s="1" t="s">
        <v>765</v>
      </c>
      <c r="F818" s="1" t="str">
        <f>IFERROR(__xludf.DUMMYFUNCTION("GOOGLETRANSLATE(E818, ""zh-CN"", ""en"")"),"Nangxiong City")</f>
        <v>Nangxiong City</v>
      </c>
      <c r="G818" s="1">
        <v>4.40282E11</v>
      </c>
    </row>
    <row r="819">
      <c r="A819" s="1" t="s">
        <v>723</v>
      </c>
      <c r="B819" s="1" t="str">
        <f>IFERROR(__xludf.DUMMYFUNCTION("GOOGLETRANSLATE(A745, ""zh-CN"", ""en"")"),"Anhui Province")</f>
        <v>Anhui Province</v>
      </c>
      <c r="C819" s="1" t="s">
        <v>726</v>
      </c>
      <c r="D819" s="1" t="str">
        <f>IFERROR(__xludf.DUMMYFUNCTION("GOOGLETRANSLATE(C819, ""zh-CN"", ""en"")"),"Shenzhen")</f>
        <v>Shenzhen</v>
      </c>
      <c r="E819" s="1" t="s">
        <v>24</v>
      </c>
      <c r="F819" s="1" t="str">
        <f>IFERROR(__xludf.DUMMYFUNCTION("GOOGLETRANSLATE(E819, ""zh-CN"", ""en"")"),"City area")</f>
        <v>City area</v>
      </c>
      <c r="G819" s="1">
        <v>4.40301E11</v>
      </c>
    </row>
    <row r="820">
      <c r="A820" s="1" t="s">
        <v>723</v>
      </c>
      <c r="B820" s="1" t="str">
        <f>IFERROR(__xludf.DUMMYFUNCTION("GOOGLETRANSLATE(A746, ""zh-CN"", ""en"")"),"Anhui Province")</f>
        <v>Anhui Province</v>
      </c>
      <c r="C820" s="1" t="s">
        <v>726</v>
      </c>
      <c r="D820" s="1" t="str">
        <f>IFERROR(__xludf.DUMMYFUNCTION("GOOGLETRANSLATE(C820, ""zh-CN"", ""en"")"),"Shenzhen")</f>
        <v>Shenzhen</v>
      </c>
      <c r="E820" s="1" t="s">
        <v>766</v>
      </c>
      <c r="F820" s="1" t="str">
        <f>IFERROR(__xludf.DUMMYFUNCTION("GOOGLETRANSLATE(E820, ""zh-CN"", ""en"")"),"Luohu district")</f>
        <v>Luohu district</v>
      </c>
      <c r="G820" s="1">
        <v>4.40303E11</v>
      </c>
    </row>
    <row r="821">
      <c r="A821" s="1" t="s">
        <v>723</v>
      </c>
      <c r="B821" s="1" t="str">
        <f>IFERROR(__xludf.DUMMYFUNCTION("GOOGLETRANSLATE(A747, ""zh-CN"", ""en"")"),"Anhui Province")</f>
        <v>Anhui Province</v>
      </c>
      <c r="C821" s="1" t="s">
        <v>726</v>
      </c>
      <c r="D821" s="1" t="str">
        <f>IFERROR(__xludf.DUMMYFUNCTION("GOOGLETRANSLATE(C821, ""zh-CN"", ""en"")"),"Shenzhen")</f>
        <v>Shenzhen</v>
      </c>
      <c r="E821" s="1" t="s">
        <v>767</v>
      </c>
      <c r="F821" s="1" t="str">
        <f>IFERROR(__xludf.DUMMYFUNCTION("GOOGLETRANSLATE(E821, ""zh-CN"", ""en"")"),"Futian district")</f>
        <v>Futian district</v>
      </c>
      <c r="G821" s="1">
        <v>4.40304E11</v>
      </c>
    </row>
    <row r="822">
      <c r="A822" s="1" t="s">
        <v>723</v>
      </c>
      <c r="B822" s="1" t="str">
        <f>IFERROR(__xludf.DUMMYFUNCTION("GOOGLETRANSLATE(A748, ""zh-CN"", ""en"")"),"Anhui Province")</f>
        <v>Anhui Province</v>
      </c>
      <c r="C822" s="1" t="s">
        <v>726</v>
      </c>
      <c r="D822" s="1" t="str">
        <f>IFERROR(__xludf.DUMMYFUNCTION("GOOGLETRANSLATE(C822, ""zh-CN"", ""en"")"),"Shenzhen")</f>
        <v>Shenzhen</v>
      </c>
      <c r="E822" s="1" t="s">
        <v>768</v>
      </c>
      <c r="F822" s="1" t="str">
        <f>IFERROR(__xludf.DUMMYFUNCTION("GOOGLETRANSLATE(E822, ""zh-CN"", ""en"")"),"Nanshan District")</f>
        <v>Nanshan District</v>
      </c>
      <c r="G822" s="1">
        <v>4.40305E11</v>
      </c>
    </row>
    <row r="823">
      <c r="A823" s="1" t="s">
        <v>723</v>
      </c>
      <c r="B823" s="1" t="str">
        <f>IFERROR(__xludf.DUMMYFUNCTION("GOOGLETRANSLATE(A749, ""zh-CN"", ""en"")"),"Anhui Province")</f>
        <v>Anhui Province</v>
      </c>
      <c r="C823" s="1" t="s">
        <v>726</v>
      </c>
      <c r="D823" s="1" t="str">
        <f>IFERROR(__xludf.DUMMYFUNCTION("GOOGLETRANSLATE(C823, ""zh-CN"", ""en"")"),"Shenzhen")</f>
        <v>Shenzhen</v>
      </c>
      <c r="E823" s="1" t="s">
        <v>769</v>
      </c>
      <c r="F823" s="1" t="str">
        <f>IFERROR(__xludf.DUMMYFUNCTION("GOOGLETRANSLATE(E823, ""zh-CN"", ""en"")"),"Bao'an District")</f>
        <v>Bao'an District</v>
      </c>
      <c r="G823" s="1">
        <v>4.40306E11</v>
      </c>
    </row>
    <row r="824">
      <c r="A824" s="1" t="s">
        <v>723</v>
      </c>
      <c r="B824" s="1" t="str">
        <f>IFERROR(__xludf.DUMMYFUNCTION("GOOGLETRANSLATE(A750, ""zh-CN"", ""en"")"),"Anhui Province")</f>
        <v>Anhui Province</v>
      </c>
      <c r="C824" s="1" t="s">
        <v>726</v>
      </c>
      <c r="D824" s="1" t="str">
        <f>IFERROR(__xludf.DUMMYFUNCTION("GOOGLETRANSLATE(C824, ""zh-CN"", ""en"")"),"Shenzhen")</f>
        <v>Shenzhen</v>
      </c>
      <c r="E824" s="1" t="s">
        <v>770</v>
      </c>
      <c r="F824" s="1" t="str">
        <f>IFERROR(__xludf.DUMMYFUNCTION("GOOGLETRANSLATE(E824, ""zh-CN"", ""en"")"),"Longgang District")</f>
        <v>Longgang District</v>
      </c>
      <c r="G824" s="1">
        <v>4.40307E11</v>
      </c>
    </row>
    <row r="825">
      <c r="A825" s="1" t="s">
        <v>723</v>
      </c>
      <c r="B825" s="1" t="str">
        <f>IFERROR(__xludf.DUMMYFUNCTION("GOOGLETRANSLATE(A751, ""zh-CN"", ""en"")"),"Anhui Province")</f>
        <v>Anhui Province</v>
      </c>
      <c r="C825" s="1" t="s">
        <v>726</v>
      </c>
      <c r="D825" s="1" t="str">
        <f>IFERROR(__xludf.DUMMYFUNCTION("GOOGLETRANSLATE(C825, ""zh-CN"", ""en"")"),"Shenzhen")</f>
        <v>Shenzhen</v>
      </c>
      <c r="E825" s="1" t="s">
        <v>771</v>
      </c>
      <c r="F825" s="1" t="str">
        <f>IFERROR(__xludf.DUMMYFUNCTION("GOOGLETRANSLATE(E825, ""zh-CN"", ""en"")"),"Yantian District")</f>
        <v>Yantian District</v>
      </c>
      <c r="G825" s="1">
        <v>4.40308E11</v>
      </c>
    </row>
    <row r="826">
      <c r="A826" s="1" t="s">
        <v>723</v>
      </c>
      <c r="B826" s="1" t="str">
        <f>IFERROR(__xludf.DUMMYFUNCTION("GOOGLETRANSLATE(A752, ""zh-CN"", ""en"")"),"Anhui Province")</f>
        <v>Anhui Province</v>
      </c>
      <c r="C826" s="1" t="s">
        <v>726</v>
      </c>
      <c r="D826" s="1" t="str">
        <f>IFERROR(__xludf.DUMMYFUNCTION("GOOGLETRANSLATE(C826, ""zh-CN"", ""en"")"),"Shenzhen")</f>
        <v>Shenzhen</v>
      </c>
      <c r="E826" s="1" t="s">
        <v>772</v>
      </c>
      <c r="F826" s="1" t="str">
        <f>IFERROR(__xludf.DUMMYFUNCTION("GOOGLETRANSLATE(E826, ""zh-CN"", ""en"")"),"Longhua District")</f>
        <v>Longhua District</v>
      </c>
      <c r="G826" s="1">
        <v>4.40309E11</v>
      </c>
    </row>
    <row r="827">
      <c r="A827" s="1" t="s">
        <v>723</v>
      </c>
      <c r="B827" s="1" t="str">
        <f>IFERROR(__xludf.DUMMYFUNCTION("GOOGLETRANSLATE(A753, ""zh-CN"", ""en"")"),"Anhui Province")</f>
        <v>Anhui Province</v>
      </c>
      <c r="C827" s="1" t="s">
        <v>726</v>
      </c>
      <c r="D827" s="1" t="str">
        <f>IFERROR(__xludf.DUMMYFUNCTION("GOOGLETRANSLATE(C827, ""zh-CN"", ""en"")"),"Shenzhen")</f>
        <v>Shenzhen</v>
      </c>
      <c r="E827" s="1" t="s">
        <v>773</v>
      </c>
      <c r="F827" s="1" t="str">
        <f>IFERROR(__xludf.DUMMYFUNCTION("GOOGLETRANSLATE(E827, ""zh-CN"", ""en"")"),"Pingshan District")</f>
        <v>Pingshan District</v>
      </c>
      <c r="G827" s="1">
        <v>4.4031E11</v>
      </c>
    </row>
    <row r="828">
      <c r="A828" s="1" t="s">
        <v>723</v>
      </c>
      <c r="B828" s="1" t="str">
        <f>IFERROR(__xludf.DUMMYFUNCTION("GOOGLETRANSLATE(A754, ""zh-CN"", ""en"")"),"Anhui Province")</f>
        <v>Anhui Province</v>
      </c>
      <c r="C828" s="1" t="s">
        <v>726</v>
      </c>
      <c r="D828" s="1" t="str">
        <f>IFERROR(__xludf.DUMMYFUNCTION("GOOGLETRANSLATE(C828, ""zh-CN"", ""en"")"),"Shenzhen")</f>
        <v>Shenzhen</v>
      </c>
      <c r="E828" s="1" t="s">
        <v>774</v>
      </c>
      <c r="F828" s="1" t="str">
        <f>IFERROR(__xludf.DUMMYFUNCTION("GOOGLETRANSLATE(E828, ""zh-CN"", ""en"")"),"Light zone")</f>
        <v>Light zone</v>
      </c>
      <c r="G828" s="1">
        <v>4.40311E11</v>
      </c>
    </row>
    <row r="829">
      <c r="A829" s="1" t="s">
        <v>723</v>
      </c>
      <c r="B829" s="1" t="str">
        <f>IFERROR(__xludf.DUMMYFUNCTION("GOOGLETRANSLATE(A755, ""zh-CN"", ""en"")"),"Anhui Province")</f>
        <v>Anhui Province</v>
      </c>
      <c r="C829" s="1" t="s">
        <v>727</v>
      </c>
      <c r="D829" s="1" t="str">
        <f>IFERROR(__xludf.DUMMYFUNCTION("GOOGLETRANSLATE(C829, ""zh-CN"", ""en"")"),"Zhuhai city")</f>
        <v>Zhuhai city</v>
      </c>
      <c r="E829" s="1" t="s">
        <v>24</v>
      </c>
      <c r="F829" s="1" t="str">
        <f>IFERROR(__xludf.DUMMYFUNCTION("GOOGLETRANSLATE(E829, ""zh-CN"", ""en"")"),"City area")</f>
        <v>City area</v>
      </c>
      <c r="G829" s="1">
        <v>4.40401E11</v>
      </c>
    </row>
    <row r="830">
      <c r="A830" s="1" t="s">
        <v>723</v>
      </c>
      <c r="B830" s="1" t="str">
        <f>IFERROR(__xludf.DUMMYFUNCTION("GOOGLETRANSLATE(A756, ""zh-CN"", ""en"")"),"Anhui Province")</f>
        <v>Anhui Province</v>
      </c>
      <c r="C830" s="1" t="s">
        <v>727</v>
      </c>
      <c r="D830" s="1" t="str">
        <f>IFERROR(__xludf.DUMMYFUNCTION("GOOGLETRANSLATE(C830, ""zh-CN"", ""en"")"),"Zhuhai city")</f>
        <v>Zhuhai city</v>
      </c>
      <c r="E830" s="1" t="s">
        <v>775</v>
      </c>
      <c r="F830" s="1" t="str">
        <f>IFERROR(__xludf.DUMMYFUNCTION("GOOGLETRANSLATE(E830, ""zh-CN"", ""en"")"),"Xiangzhou District")</f>
        <v>Xiangzhou District</v>
      </c>
      <c r="G830" s="1">
        <v>4.40402E11</v>
      </c>
    </row>
    <row r="831">
      <c r="A831" s="1" t="s">
        <v>723</v>
      </c>
      <c r="B831" s="1" t="str">
        <f>IFERROR(__xludf.DUMMYFUNCTION("GOOGLETRANSLATE(A757, ""zh-CN"", ""en"")"),"Anhui Province")</f>
        <v>Anhui Province</v>
      </c>
      <c r="C831" s="1" t="s">
        <v>727</v>
      </c>
      <c r="D831" s="1" t="str">
        <f>IFERROR(__xludf.DUMMYFUNCTION("GOOGLETRANSLATE(C831, ""zh-CN"", ""en"")"),"Zhuhai city")</f>
        <v>Zhuhai city</v>
      </c>
      <c r="E831" s="1" t="s">
        <v>776</v>
      </c>
      <c r="F831" s="1" t="str">
        <f>IFERROR(__xludf.DUMMYFUNCTION("GOOGLETRANSLATE(E831, ""zh-CN"", ""en"")"),"Doumen area")</f>
        <v>Doumen area</v>
      </c>
      <c r="G831" s="1">
        <v>4.40403E11</v>
      </c>
    </row>
    <row r="832">
      <c r="A832" s="1" t="s">
        <v>723</v>
      </c>
      <c r="B832" s="1" t="str">
        <f>IFERROR(__xludf.DUMMYFUNCTION("GOOGLETRANSLATE(A758, ""zh-CN"", ""en"")"),"Anhui Province")</f>
        <v>Anhui Province</v>
      </c>
      <c r="C832" s="1" t="s">
        <v>727</v>
      </c>
      <c r="D832" s="1" t="str">
        <f>IFERROR(__xludf.DUMMYFUNCTION("GOOGLETRANSLATE(C832, ""zh-CN"", ""en"")"),"Zhuhai city")</f>
        <v>Zhuhai city</v>
      </c>
      <c r="E832" s="1" t="s">
        <v>777</v>
      </c>
      <c r="F832" s="1" t="str">
        <f>IFERROR(__xludf.DUMMYFUNCTION("GOOGLETRANSLATE(E832, ""zh-CN"", ""en"")"),"Golden Bay Area")</f>
        <v>Golden Bay Area</v>
      </c>
      <c r="G832" s="1">
        <v>4.40404E11</v>
      </c>
    </row>
    <row r="833">
      <c r="A833" s="1" t="s">
        <v>723</v>
      </c>
      <c r="B833" s="1" t="str">
        <f>IFERROR(__xludf.DUMMYFUNCTION("GOOGLETRANSLATE(A759, ""zh-CN"", ""en"")"),"Anhui Province")</f>
        <v>Anhui Province</v>
      </c>
      <c r="C833" s="1" t="s">
        <v>728</v>
      </c>
      <c r="D833" s="1" t="str">
        <f>IFERROR(__xludf.DUMMYFUNCTION("GOOGLETRANSLATE(C833, ""zh-CN"", ""en"")"),"Shan Tou")</f>
        <v>Shan Tou</v>
      </c>
      <c r="E833" s="1" t="s">
        <v>24</v>
      </c>
      <c r="F833" s="1" t="str">
        <f>IFERROR(__xludf.DUMMYFUNCTION("GOOGLETRANSLATE(E833, ""zh-CN"", ""en"")"),"City area")</f>
        <v>City area</v>
      </c>
      <c r="G833" s="1">
        <v>4.40501E11</v>
      </c>
    </row>
    <row r="834">
      <c r="A834" s="1" t="s">
        <v>723</v>
      </c>
      <c r="B834" s="1" t="str">
        <f>IFERROR(__xludf.DUMMYFUNCTION("GOOGLETRANSLATE(A760, ""zh-CN"", ""en"")"),"Anhui Province")</f>
        <v>Anhui Province</v>
      </c>
      <c r="C834" s="1" t="s">
        <v>728</v>
      </c>
      <c r="D834" s="1" t="str">
        <f>IFERROR(__xludf.DUMMYFUNCTION("GOOGLETRANSLATE(C834, ""zh-CN"", ""en"")"),"Shan Tou")</f>
        <v>Shan Tou</v>
      </c>
      <c r="E834" s="1" t="s">
        <v>778</v>
      </c>
      <c r="F834" s="1" t="str">
        <f>IFERROR(__xludf.DUMMYFUNCTION("GOOGLETRANSLATE(E834, ""zh-CN"", ""en"")"),"Longhu District")</f>
        <v>Longhu District</v>
      </c>
      <c r="G834" s="1">
        <v>4.40507E11</v>
      </c>
    </row>
    <row r="835">
      <c r="A835" s="1" t="s">
        <v>723</v>
      </c>
      <c r="B835" s="1" t="str">
        <f>IFERROR(__xludf.DUMMYFUNCTION("GOOGLETRANSLATE(A761, ""zh-CN"", ""en"")"),"Anhui Province")</f>
        <v>Anhui Province</v>
      </c>
      <c r="C835" s="1" t="s">
        <v>728</v>
      </c>
      <c r="D835" s="1" t="str">
        <f>IFERROR(__xludf.DUMMYFUNCTION("GOOGLETRANSLATE(C835, ""zh-CN"", ""en"")"),"Shan Tou")</f>
        <v>Shan Tou</v>
      </c>
      <c r="E835" s="1" t="s">
        <v>779</v>
      </c>
      <c r="F835" s="1" t="str">
        <f>IFERROR(__xludf.DUMMYFUNCTION("GOOGLETRANSLATE(E835, ""zh-CN"", ""en"")"),"Jinping District")</f>
        <v>Jinping District</v>
      </c>
      <c r="G835" s="1">
        <v>4.40511E11</v>
      </c>
    </row>
    <row r="836">
      <c r="A836" s="1" t="s">
        <v>723</v>
      </c>
      <c r="B836" s="1" t="str">
        <f>IFERROR(__xludf.DUMMYFUNCTION("GOOGLETRANSLATE(A762, ""zh-CN"", ""en"")"),"Anhui Province")</f>
        <v>Anhui Province</v>
      </c>
      <c r="C836" s="1" t="s">
        <v>728</v>
      </c>
      <c r="D836" s="1" t="str">
        <f>IFERROR(__xludf.DUMMYFUNCTION("GOOGLETRANSLATE(C836, ""zh-CN"", ""en"")"),"Shan Tou")</f>
        <v>Shan Tou</v>
      </c>
      <c r="E836" s="1" t="s">
        <v>780</v>
      </c>
      <c r="F836" s="1" t="str">
        <f>IFERROR(__xludf.DUMMYFUNCTION("GOOGLETRANSLATE(E836, ""zh-CN"", ""en"")"),"Qijiang District")</f>
        <v>Qijiang District</v>
      </c>
      <c r="G836" s="1">
        <v>4.40512E11</v>
      </c>
    </row>
    <row r="837">
      <c r="A837" s="1" t="s">
        <v>723</v>
      </c>
      <c r="B837" s="1" t="str">
        <f>IFERROR(__xludf.DUMMYFUNCTION("GOOGLETRANSLATE(A763, ""zh-CN"", ""en"")"),"Anhui Province")</f>
        <v>Anhui Province</v>
      </c>
      <c r="C837" s="1" t="s">
        <v>728</v>
      </c>
      <c r="D837" s="1" t="str">
        <f>IFERROR(__xludf.DUMMYFUNCTION("GOOGLETRANSLATE(C837, ""zh-CN"", ""en"")"),"Shan Tou")</f>
        <v>Shan Tou</v>
      </c>
      <c r="E837" s="1" t="s">
        <v>781</v>
      </c>
      <c r="F837" s="1" t="str">
        <f>IFERROR(__xludf.DUMMYFUNCTION("GOOGLETRANSLATE(E837, ""zh-CN"", ""en"")"),"Chaoyang District")</f>
        <v>Chaoyang District</v>
      </c>
      <c r="G837" s="1">
        <v>4.40513E11</v>
      </c>
    </row>
    <row r="838">
      <c r="A838" s="1" t="s">
        <v>723</v>
      </c>
      <c r="B838" s="1" t="str">
        <f>IFERROR(__xludf.DUMMYFUNCTION("GOOGLETRANSLATE(A764, ""zh-CN"", ""en"")"),"Anhui Province")</f>
        <v>Anhui Province</v>
      </c>
      <c r="C838" s="1" t="s">
        <v>728</v>
      </c>
      <c r="D838" s="1" t="str">
        <f>IFERROR(__xludf.DUMMYFUNCTION("GOOGLETRANSLATE(C838, ""zh-CN"", ""en"")"),"Shan Tou")</f>
        <v>Shan Tou</v>
      </c>
      <c r="E838" s="1" t="s">
        <v>782</v>
      </c>
      <c r="F838" s="1" t="str">
        <f>IFERROR(__xludf.DUMMYFUNCTION("GOOGLETRANSLATE(E838, ""zh-CN"", ""en"")"),"Chaonan District")</f>
        <v>Chaonan District</v>
      </c>
      <c r="G838" s="1">
        <v>4.40514E11</v>
      </c>
    </row>
    <row r="839">
      <c r="A839" s="1" t="s">
        <v>723</v>
      </c>
      <c r="B839" s="1" t="str">
        <f>IFERROR(__xludf.DUMMYFUNCTION("GOOGLETRANSLATE(A765, ""zh-CN"", ""en"")"),"Anhui Province")</f>
        <v>Anhui Province</v>
      </c>
      <c r="C839" s="1" t="s">
        <v>728</v>
      </c>
      <c r="D839" s="1" t="str">
        <f>IFERROR(__xludf.DUMMYFUNCTION("GOOGLETRANSLATE(C839, ""zh-CN"", ""en"")"),"Shan Tou")</f>
        <v>Shan Tou</v>
      </c>
      <c r="E839" s="1" t="s">
        <v>783</v>
      </c>
      <c r="F839" s="1" t="str">
        <f>IFERROR(__xludf.DUMMYFUNCTION("GOOGLETRANSLATE(E839, ""zh-CN"", ""en"")"),"Chenghai District")</f>
        <v>Chenghai District</v>
      </c>
      <c r="G839" s="1">
        <v>4.40515E11</v>
      </c>
    </row>
    <row r="840">
      <c r="A840" s="1" t="s">
        <v>723</v>
      </c>
      <c r="B840" s="1" t="str">
        <f>IFERROR(__xludf.DUMMYFUNCTION("GOOGLETRANSLATE(A766, ""zh-CN"", ""en"")"),"Anhui Province")</f>
        <v>Anhui Province</v>
      </c>
      <c r="C840" s="1" t="s">
        <v>728</v>
      </c>
      <c r="D840" s="1" t="str">
        <f>IFERROR(__xludf.DUMMYFUNCTION("GOOGLETRANSLATE(C840, ""zh-CN"", ""en"")"),"Shan Tou")</f>
        <v>Shan Tou</v>
      </c>
      <c r="E840" s="1" t="s">
        <v>784</v>
      </c>
      <c r="F840" s="1" t="str">
        <f>IFERROR(__xludf.DUMMYFUNCTION("GOOGLETRANSLATE(E840, ""zh-CN"", ""en"")"),"Nan'ao County")</f>
        <v>Nan'ao County</v>
      </c>
      <c r="G840" s="1">
        <v>4.40523E11</v>
      </c>
    </row>
    <row r="841">
      <c r="A841" s="1" t="s">
        <v>723</v>
      </c>
      <c r="B841" s="1" t="str">
        <f>IFERROR(__xludf.DUMMYFUNCTION("GOOGLETRANSLATE(A767, ""zh-CN"", ""en"")"),"Anhui Province")</f>
        <v>Anhui Province</v>
      </c>
      <c r="C841" s="1" t="s">
        <v>729</v>
      </c>
      <c r="D841" s="1" t="str">
        <f>IFERROR(__xludf.DUMMYFUNCTION("GOOGLETRANSLATE(C841, ""zh-CN"", ""en"")"),"Foshan City")</f>
        <v>Foshan City</v>
      </c>
      <c r="E841" s="1" t="s">
        <v>24</v>
      </c>
      <c r="F841" s="1" t="str">
        <f>IFERROR(__xludf.DUMMYFUNCTION("GOOGLETRANSLATE(E841, ""zh-CN"", ""en"")"),"City area")</f>
        <v>City area</v>
      </c>
      <c r="G841" s="1">
        <v>4.40601E11</v>
      </c>
    </row>
    <row r="842">
      <c r="A842" s="1" t="s">
        <v>723</v>
      </c>
      <c r="B842" s="1" t="str">
        <f>IFERROR(__xludf.DUMMYFUNCTION("GOOGLETRANSLATE(A768, ""zh-CN"", ""en"")"),"Anhui Province")</f>
        <v>Anhui Province</v>
      </c>
      <c r="C842" s="1" t="s">
        <v>729</v>
      </c>
      <c r="D842" s="1" t="str">
        <f>IFERROR(__xludf.DUMMYFUNCTION("GOOGLETRANSLATE(C842, ""zh-CN"", ""en"")"),"Foshan City")</f>
        <v>Foshan City</v>
      </c>
      <c r="E842" s="1" t="s">
        <v>785</v>
      </c>
      <c r="F842" s="1" t="str">
        <f>IFERROR(__xludf.DUMMYFUNCTION("GOOGLETRANSLATE(E842, ""zh-CN"", ""en"")"),"Centered area")</f>
        <v>Centered area</v>
      </c>
      <c r="G842" s="1">
        <v>4.40604E11</v>
      </c>
    </row>
    <row r="843">
      <c r="A843" s="1" t="s">
        <v>723</v>
      </c>
      <c r="B843" s="1" t="str">
        <f>IFERROR(__xludf.DUMMYFUNCTION("GOOGLETRANSLATE(A769, ""zh-CN"", ""en"")"),"Anhui Province")</f>
        <v>Anhui Province</v>
      </c>
      <c r="C843" s="1" t="s">
        <v>729</v>
      </c>
      <c r="D843" s="1" t="str">
        <f>IFERROR(__xludf.DUMMYFUNCTION("GOOGLETRANSLATE(C843, ""zh-CN"", ""en"")"),"Foshan City")</f>
        <v>Foshan City</v>
      </c>
      <c r="E843" s="1" t="s">
        <v>786</v>
      </c>
      <c r="F843" s="1" t="str">
        <f>IFERROR(__xludf.DUMMYFUNCTION("GOOGLETRANSLATE(E843, ""zh-CN"", ""en"")"),"Nanhai District")</f>
        <v>Nanhai District</v>
      </c>
      <c r="G843" s="1">
        <v>4.40605E11</v>
      </c>
    </row>
    <row r="844">
      <c r="A844" s="1" t="s">
        <v>723</v>
      </c>
      <c r="B844" s="1" t="str">
        <f>IFERROR(__xludf.DUMMYFUNCTION("GOOGLETRANSLATE(A770, ""zh-CN"", ""en"")"),"Anhui Province")</f>
        <v>Anhui Province</v>
      </c>
      <c r="C844" s="1" t="s">
        <v>729</v>
      </c>
      <c r="D844" s="1" t="str">
        <f>IFERROR(__xludf.DUMMYFUNCTION("GOOGLETRANSLATE(C844, ""zh-CN"", ""en"")"),"Foshan City")</f>
        <v>Foshan City</v>
      </c>
      <c r="E844" s="1" t="s">
        <v>787</v>
      </c>
      <c r="F844" s="1" t="str">
        <f>IFERROR(__xludf.DUMMYFUNCTION("GOOGLETRANSLATE(E844, ""zh-CN"", ""en"")"),"Shunde")</f>
        <v>Shunde</v>
      </c>
      <c r="G844" s="1">
        <v>4.40606E11</v>
      </c>
    </row>
    <row r="845">
      <c r="A845" s="1" t="s">
        <v>723</v>
      </c>
      <c r="B845" s="1" t="str">
        <f>IFERROR(__xludf.DUMMYFUNCTION("GOOGLETRANSLATE(A771, ""zh-CN"", ""en"")"),"Anhui Province")</f>
        <v>Anhui Province</v>
      </c>
      <c r="C845" s="1" t="s">
        <v>729</v>
      </c>
      <c r="D845" s="1" t="str">
        <f>IFERROR(__xludf.DUMMYFUNCTION("GOOGLETRANSLATE(C845, ""zh-CN"", ""en"")"),"Foshan City")</f>
        <v>Foshan City</v>
      </c>
      <c r="E845" s="1" t="s">
        <v>788</v>
      </c>
      <c r="F845" s="1" t="str">
        <f>IFERROR(__xludf.DUMMYFUNCTION("GOOGLETRANSLATE(E845, ""zh-CN"", ""en"")"),"Three water areas")</f>
        <v>Three water areas</v>
      </c>
      <c r="G845" s="1">
        <v>4.40607E11</v>
      </c>
    </row>
    <row r="846">
      <c r="A846" s="1" t="s">
        <v>723</v>
      </c>
      <c r="B846" s="1" t="str">
        <f>IFERROR(__xludf.DUMMYFUNCTION("GOOGLETRANSLATE(A772, ""zh-CN"", ""en"")"),"Anhui Province")</f>
        <v>Anhui Province</v>
      </c>
      <c r="C846" s="1" t="s">
        <v>729</v>
      </c>
      <c r="D846" s="1" t="str">
        <f>IFERROR(__xludf.DUMMYFUNCTION("GOOGLETRANSLATE(C846, ""zh-CN"", ""en"")"),"Foshan City")</f>
        <v>Foshan City</v>
      </c>
      <c r="E846" s="1" t="s">
        <v>789</v>
      </c>
      <c r="F846" s="1" t="str">
        <f>IFERROR(__xludf.DUMMYFUNCTION("GOOGLETRANSLATE(E846, ""zh-CN"", ""en"")"),"Gaoming District")</f>
        <v>Gaoming District</v>
      </c>
      <c r="G846" s="1">
        <v>4.40608E11</v>
      </c>
    </row>
    <row r="847">
      <c r="A847" s="1" t="s">
        <v>723</v>
      </c>
      <c r="B847" s="1" t="str">
        <f>IFERROR(__xludf.DUMMYFUNCTION("GOOGLETRANSLATE(A773, ""zh-CN"", ""en"")"),"Anhui Province")</f>
        <v>Anhui Province</v>
      </c>
      <c r="C847" s="1" t="s">
        <v>730</v>
      </c>
      <c r="D847" s="1" t="str">
        <f>IFERROR(__xludf.DUMMYFUNCTION("GOOGLETRANSLATE(C847, ""zh-CN"", ""en"")"),"Jiangmen")</f>
        <v>Jiangmen</v>
      </c>
      <c r="E847" s="1" t="s">
        <v>24</v>
      </c>
      <c r="F847" s="1" t="str">
        <f>IFERROR(__xludf.DUMMYFUNCTION("GOOGLETRANSLATE(E847, ""zh-CN"", ""en"")"),"City area")</f>
        <v>City area</v>
      </c>
      <c r="G847" s="1">
        <v>4.40701E11</v>
      </c>
    </row>
    <row r="848">
      <c r="A848" s="1" t="s">
        <v>723</v>
      </c>
      <c r="B848" s="1" t="str">
        <f>IFERROR(__xludf.DUMMYFUNCTION("GOOGLETRANSLATE(A774, ""zh-CN"", ""en"")"),"Guangdong Province")</f>
        <v>Guangdong Province</v>
      </c>
      <c r="C848" s="1" t="s">
        <v>730</v>
      </c>
      <c r="D848" s="1" t="str">
        <f>IFERROR(__xludf.DUMMYFUNCTION("GOOGLETRANSLATE(C848, ""zh-CN"", ""en"")"),"Jiangmen")</f>
        <v>Jiangmen</v>
      </c>
      <c r="E848" s="1" t="s">
        <v>790</v>
      </c>
      <c r="F848" s="1" t="str">
        <f>IFERROR(__xludf.DUMMYFUNCTION("GOOGLETRANSLATE(E848, ""zh-CN"", ""en"")"),"Pengjiang District")</f>
        <v>Pengjiang District</v>
      </c>
      <c r="G848" s="1">
        <v>4.40703E11</v>
      </c>
    </row>
    <row r="849">
      <c r="A849" s="1" t="s">
        <v>723</v>
      </c>
      <c r="B849" s="1" t="str">
        <f>IFERROR(__xludf.DUMMYFUNCTION("GOOGLETRANSLATE(A775, ""zh-CN"", ""en"")"),"Guangdong Province")</f>
        <v>Guangdong Province</v>
      </c>
      <c r="C849" s="1" t="s">
        <v>730</v>
      </c>
      <c r="D849" s="1" t="str">
        <f>IFERROR(__xludf.DUMMYFUNCTION("GOOGLETRANSLATE(C849, ""zh-CN"", ""en"")"),"Jiangmen")</f>
        <v>Jiangmen</v>
      </c>
      <c r="E849" s="1" t="s">
        <v>791</v>
      </c>
      <c r="F849" s="1" t="str">
        <f>IFERROR(__xludf.DUMMYFUNCTION("GOOGLETRANSLATE(E849, ""zh-CN"", ""en"")"),"Jianghai District")</f>
        <v>Jianghai District</v>
      </c>
      <c r="G849" s="1">
        <v>4.40704E11</v>
      </c>
    </row>
    <row r="850">
      <c r="A850" s="1" t="s">
        <v>723</v>
      </c>
      <c r="B850" s="1" t="str">
        <f>IFERROR(__xludf.DUMMYFUNCTION("GOOGLETRANSLATE(A776, ""zh-CN"", ""en"")"),"Guangdong Province")</f>
        <v>Guangdong Province</v>
      </c>
      <c r="C850" s="1" t="s">
        <v>730</v>
      </c>
      <c r="D850" s="1" t="str">
        <f>IFERROR(__xludf.DUMMYFUNCTION("GOOGLETRANSLATE(C850, ""zh-CN"", ""en"")"),"Jiangmen")</f>
        <v>Jiangmen</v>
      </c>
      <c r="E850" s="1" t="s">
        <v>792</v>
      </c>
      <c r="F850" s="1" t="str">
        <f>IFERROR(__xludf.DUMMYFUNCTION("GOOGLETRANSLATE(E850, ""zh-CN"", ""en"")"),"Xinhui District")</f>
        <v>Xinhui District</v>
      </c>
      <c r="G850" s="1">
        <v>4.40705E11</v>
      </c>
    </row>
    <row r="851">
      <c r="A851" s="1" t="s">
        <v>723</v>
      </c>
      <c r="B851" s="1" t="str">
        <f>IFERROR(__xludf.DUMMYFUNCTION("GOOGLETRANSLATE(A777, ""zh-CN"", ""en"")"),"Guangdong Province")</f>
        <v>Guangdong Province</v>
      </c>
      <c r="C851" s="1" t="s">
        <v>730</v>
      </c>
      <c r="D851" s="1" t="str">
        <f>IFERROR(__xludf.DUMMYFUNCTION("GOOGLETRANSLATE(C851, ""zh-CN"", ""en"")"),"Jiangmen")</f>
        <v>Jiangmen</v>
      </c>
      <c r="E851" s="1" t="s">
        <v>793</v>
      </c>
      <c r="F851" s="1" t="str">
        <f>IFERROR(__xludf.DUMMYFUNCTION("GOOGLETRANSLATE(E851, ""zh-CN"", ""en"")"),"Taishan City")</f>
        <v>Taishan City</v>
      </c>
      <c r="G851" s="1">
        <v>4.40781E11</v>
      </c>
    </row>
    <row r="852">
      <c r="A852" s="1" t="s">
        <v>723</v>
      </c>
      <c r="B852" s="1" t="str">
        <f>IFERROR(__xludf.DUMMYFUNCTION("GOOGLETRANSLATE(A778, ""zh-CN"", ""en"")"),"Guangdong Province")</f>
        <v>Guangdong Province</v>
      </c>
      <c r="C852" s="1" t="s">
        <v>730</v>
      </c>
      <c r="D852" s="1" t="str">
        <f>IFERROR(__xludf.DUMMYFUNCTION("GOOGLETRANSLATE(C852, ""zh-CN"", ""en"")"),"Jiangmen")</f>
        <v>Jiangmen</v>
      </c>
      <c r="E852" s="1" t="s">
        <v>794</v>
      </c>
      <c r="F852" s="1" t="str">
        <f>IFERROR(__xludf.DUMMYFUNCTION("GOOGLETRANSLATE(E852, ""zh-CN"", ""en"")"),"Kaiping City")</f>
        <v>Kaiping City</v>
      </c>
      <c r="G852" s="1">
        <v>4.40783E11</v>
      </c>
    </row>
    <row r="853">
      <c r="A853" s="1" t="s">
        <v>723</v>
      </c>
      <c r="B853" s="1" t="str">
        <f>IFERROR(__xludf.DUMMYFUNCTION("GOOGLETRANSLATE(A779, ""zh-CN"", ""en"")"),"Guangdong Province")</f>
        <v>Guangdong Province</v>
      </c>
      <c r="C853" s="1" t="s">
        <v>730</v>
      </c>
      <c r="D853" s="1" t="str">
        <f>IFERROR(__xludf.DUMMYFUNCTION("GOOGLETRANSLATE(C853, ""zh-CN"", ""en"")"),"Jiangmen")</f>
        <v>Jiangmen</v>
      </c>
      <c r="E853" s="1" t="s">
        <v>795</v>
      </c>
      <c r="F853" s="1" t="str">
        <f>IFERROR(__xludf.DUMMYFUNCTION("GOOGLETRANSLATE(E853, ""zh-CN"", ""en"")"),"Heshan City")</f>
        <v>Heshan City</v>
      </c>
      <c r="G853" s="1">
        <v>4.40784E11</v>
      </c>
    </row>
    <row r="854">
      <c r="A854" s="1" t="s">
        <v>723</v>
      </c>
      <c r="B854" s="1" t="str">
        <f>IFERROR(__xludf.DUMMYFUNCTION("GOOGLETRANSLATE(A780, ""zh-CN"", ""en"")"),"Guangdong Province")</f>
        <v>Guangdong Province</v>
      </c>
      <c r="C854" s="1" t="s">
        <v>730</v>
      </c>
      <c r="D854" s="1" t="str">
        <f>IFERROR(__xludf.DUMMYFUNCTION("GOOGLETRANSLATE(C854, ""zh-CN"", ""en"")"),"Jiangmen")</f>
        <v>Jiangmen</v>
      </c>
      <c r="E854" s="1" t="s">
        <v>796</v>
      </c>
      <c r="F854" s="1" t="str">
        <f>IFERROR(__xludf.DUMMYFUNCTION("GOOGLETRANSLATE(E854, ""zh-CN"", ""en"")"),"Enping City")</f>
        <v>Enping City</v>
      </c>
      <c r="G854" s="1">
        <v>4.40785E11</v>
      </c>
    </row>
    <row r="855">
      <c r="A855" s="1" t="s">
        <v>723</v>
      </c>
      <c r="B855" s="1" t="str">
        <f>IFERROR(__xludf.DUMMYFUNCTION("GOOGLETRANSLATE(A781, ""zh-CN"", ""en"")"),"Guangdong Province")</f>
        <v>Guangdong Province</v>
      </c>
      <c r="C855" s="1" t="s">
        <v>731</v>
      </c>
      <c r="D855" s="1" t="str">
        <f>IFERROR(__xludf.DUMMYFUNCTION("GOOGLETRANSLATE(C855, ""zh-CN"", ""en"")"),"Zhangjiang City")</f>
        <v>Zhangjiang City</v>
      </c>
      <c r="E855" s="1" t="s">
        <v>24</v>
      </c>
      <c r="F855" s="1" t="str">
        <f>IFERROR(__xludf.DUMMYFUNCTION("GOOGLETRANSLATE(E855, ""zh-CN"", ""en"")"),"City area")</f>
        <v>City area</v>
      </c>
      <c r="G855" s="1">
        <v>4.40801E11</v>
      </c>
    </row>
    <row r="856">
      <c r="A856" s="1" t="s">
        <v>723</v>
      </c>
      <c r="B856" s="1" t="str">
        <f>IFERROR(__xludf.DUMMYFUNCTION("GOOGLETRANSLATE(A782, ""zh-CN"", ""en"")"),"Guangdong Province")</f>
        <v>Guangdong Province</v>
      </c>
      <c r="C856" s="1" t="s">
        <v>731</v>
      </c>
      <c r="D856" s="1" t="str">
        <f>IFERROR(__xludf.DUMMYFUNCTION("GOOGLETRANSLATE(C856, ""zh-CN"", ""en"")"),"Zhangjiang City")</f>
        <v>Zhangjiang City</v>
      </c>
      <c r="E856" s="1" t="s">
        <v>797</v>
      </c>
      <c r="F856" s="1" t="str">
        <f>IFERROR(__xludf.DUMMYFUNCTION("GOOGLETRANSLATE(E856, ""zh-CN"", ""en"")"),"Chican District")</f>
        <v>Chican District</v>
      </c>
      <c r="G856" s="1">
        <v>4.40802E11</v>
      </c>
    </row>
    <row r="857">
      <c r="A857" s="1" t="s">
        <v>723</v>
      </c>
      <c r="B857" s="1" t="str">
        <f>IFERROR(__xludf.DUMMYFUNCTION("GOOGLETRANSLATE(A783, ""zh-CN"", ""en"")"),"Guangdong Province")</f>
        <v>Guangdong Province</v>
      </c>
      <c r="C857" s="1" t="s">
        <v>731</v>
      </c>
      <c r="D857" s="1" t="str">
        <f>IFERROR(__xludf.DUMMYFUNCTION("GOOGLETRANSLATE(C857, ""zh-CN"", ""en"")"),"Zhangjiang City")</f>
        <v>Zhangjiang City</v>
      </c>
      <c r="E857" s="1" t="s">
        <v>798</v>
      </c>
      <c r="F857" s="1" t="str">
        <f>IFERROR(__xludf.DUMMYFUNCTION("GOOGLETRANSLATE(E857, ""zh-CN"", ""en"")"),"Xia Mountain")</f>
        <v>Xia Mountain</v>
      </c>
      <c r="G857" s="1">
        <v>4.40803E11</v>
      </c>
    </row>
    <row r="858">
      <c r="A858" s="1" t="s">
        <v>723</v>
      </c>
      <c r="B858" s="1" t="str">
        <f>IFERROR(__xludf.DUMMYFUNCTION("GOOGLETRANSLATE(A784, ""zh-CN"", ""en"")"),"Guangdong Province")</f>
        <v>Guangdong Province</v>
      </c>
      <c r="C858" s="1" t="s">
        <v>731</v>
      </c>
      <c r="D858" s="1" t="str">
        <f>IFERROR(__xludf.DUMMYFUNCTION("GOOGLETRANSLATE(C858, ""zh-CN"", ""en"")"),"Zhangjiang City")</f>
        <v>Zhangjiang City</v>
      </c>
      <c r="E858" s="1" t="s">
        <v>799</v>
      </c>
      <c r="F858" s="1" t="str">
        <f>IFERROR(__xludf.DUMMYFUNCTION("GOOGLETRANSLATE(E858, ""zh-CN"", ""en"")"),"Slope area")</f>
        <v>Slope area</v>
      </c>
      <c r="G858" s="1">
        <v>4.40804E11</v>
      </c>
    </row>
    <row r="859">
      <c r="A859" s="1" t="s">
        <v>723</v>
      </c>
      <c r="B859" s="1" t="str">
        <f>IFERROR(__xludf.DUMMYFUNCTION("GOOGLETRANSLATE(A785, ""zh-CN"", ""en"")"),"Guangdong Province")</f>
        <v>Guangdong Province</v>
      </c>
      <c r="C859" s="1" t="s">
        <v>731</v>
      </c>
      <c r="D859" s="1" t="str">
        <f>IFERROR(__xludf.DUMMYFUNCTION("GOOGLETRANSLATE(C859, ""zh-CN"", ""en"")"),"Zhangjiang City")</f>
        <v>Zhangjiang City</v>
      </c>
      <c r="E859" s="1" t="s">
        <v>800</v>
      </c>
      <c r="F859" s="1" t="str">
        <f>IFERROR(__xludf.DUMMYFUNCTION("GOOGLETRANSLATE(E859, ""zh-CN"", ""en"")"),"Hemp district")</f>
        <v>Hemp district</v>
      </c>
      <c r="G859" s="1">
        <v>4.40811E11</v>
      </c>
    </row>
    <row r="860">
      <c r="A860" s="1" t="s">
        <v>723</v>
      </c>
      <c r="B860" s="1" t="str">
        <f>IFERROR(__xludf.DUMMYFUNCTION("GOOGLETRANSLATE(A786, ""zh-CN"", ""en"")"),"Guangdong Province")</f>
        <v>Guangdong Province</v>
      </c>
      <c r="C860" s="1" t="s">
        <v>731</v>
      </c>
      <c r="D860" s="1" t="str">
        <f>IFERROR(__xludf.DUMMYFUNCTION("GOOGLETRANSLATE(C860, ""zh-CN"", ""en"")"),"Zhangjiang City")</f>
        <v>Zhangjiang City</v>
      </c>
      <c r="E860" s="1" t="s">
        <v>801</v>
      </c>
      <c r="F860" s="1" t="str">
        <f>IFERROR(__xludf.DUMMYFUNCTION("GOOGLETRANSLATE(E860, ""zh-CN"", ""en"")"),"Suixi County")</f>
        <v>Suixi County</v>
      </c>
      <c r="G860" s="1">
        <v>4.40823E11</v>
      </c>
    </row>
    <row r="861">
      <c r="A861" s="1" t="s">
        <v>723</v>
      </c>
      <c r="B861" s="1" t="str">
        <f>IFERROR(__xludf.DUMMYFUNCTION("GOOGLETRANSLATE(A787, ""zh-CN"", ""en"")"),"Guangdong Province")</f>
        <v>Guangdong Province</v>
      </c>
      <c r="C861" s="1" t="s">
        <v>731</v>
      </c>
      <c r="D861" s="1" t="str">
        <f>IFERROR(__xludf.DUMMYFUNCTION("GOOGLETRANSLATE(C861, ""zh-CN"", ""en"")"),"Zhangjiang City")</f>
        <v>Zhangjiang City</v>
      </c>
      <c r="E861" s="1" t="s">
        <v>802</v>
      </c>
      <c r="F861" s="1" t="str">
        <f>IFERROR(__xludf.DUMMYFUNCTION("GOOGLETRANSLATE(E861, ""zh-CN"", ""en"")"),"Xuwen County")</f>
        <v>Xuwen County</v>
      </c>
      <c r="G861" s="1">
        <v>4.40825E11</v>
      </c>
    </row>
    <row r="862">
      <c r="A862" s="1" t="s">
        <v>723</v>
      </c>
      <c r="B862" s="1" t="str">
        <f>IFERROR(__xludf.DUMMYFUNCTION("GOOGLETRANSLATE(A788, ""zh-CN"", ""en"")"),"Guangdong Province")</f>
        <v>Guangdong Province</v>
      </c>
      <c r="C862" s="1" t="s">
        <v>731</v>
      </c>
      <c r="D862" s="1" t="str">
        <f>IFERROR(__xludf.DUMMYFUNCTION("GOOGLETRANSLATE(C862, ""zh-CN"", ""en"")"),"Zhangjiang City")</f>
        <v>Zhangjiang City</v>
      </c>
      <c r="E862" s="1" t="s">
        <v>803</v>
      </c>
      <c r="F862" s="1" t="str">
        <f>IFERROR(__xludf.DUMMYFUNCTION("GOOGLETRANSLATE(E862, ""zh-CN"", ""en"")"),"Lianjiang City")</f>
        <v>Lianjiang City</v>
      </c>
      <c r="G862" s="1">
        <v>4.40881E11</v>
      </c>
    </row>
    <row r="863">
      <c r="A863" s="1" t="s">
        <v>723</v>
      </c>
      <c r="B863" s="1" t="str">
        <f>IFERROR(__xludf.DUMMYFUNCTION("GOOGLETRANSLATE(A789, ""zh-CN"", ""en"")"),"Guangdong Province")</f>
        <v>Guangdong Province</v>
      </c>
      <c r="C863" s="1" t="s">
        <v>731</v>
      </c>
      <c r="D863" s="1" t="str">
        <f>IFERROR(__xludf.DUMMYFUNCTION("GOOGLETRANSLATE(C863, ""zh-CN"", ""en"")"),"Zhangjiang City")</f>
        <v>Zhangjiang City</v>
      </c>
      <c r="E863" s="1" t="s">
        <v>804</v>
      </c>
      <c r="F863" s="1" t="str">
        <f>IFERROR(__xludf.DUMMYFUNCTION("GOOGLETRANSLATE(E863, ""zh-CN"", ""en"")"),"Leizhou")</f>
        <v>Leizhou</v>
      </c>
      <c r="G863" s="1">
        <v>4.40882E11</v>
      </c>
    </row>
    <row r="864">
      <c r="A864" s="1" t="s">
        <v>723</v>
      </c>
      <c r="B864" s="1" t="str">
        <f>IFERROR(__xludf.DUMMYFUNCTION("GOOGLETRANSLATE(A790, ""zh-CN"", ""en"")"),"Guangdong Province")</f>
        <v>Guangdong Province</v>
      </c>
      <c r="C864" s="1" t="s">
        <v>731</v>
      </c>
      <c r="D864" s="1" t="str">
        <f>IFERROR(__xludf.DUMMYFUNCTION("GOOGLETRANSLATE(C864, ""zh-CN"", ""en"")"),"Zhangjiang City")</f>
        <v>Zhangjiang City</v>
      </c>
      <c r="E864" s="1" t="s">
        <v>805</v>
      </c>
      <c r="F864" s="1" t="str">
        <f>IFERROR(__xludf.DUMMYFUNCTION("GOOGLETRANSLATE(E864, ""zh-CN"", ""en"")"),"Wuchuan City")</f>
        <v>Wuchuan City</v>
      </c>
      <c r="G864" s="1">
        <v>4.40883E11</v>
      </c>
    </row>
    <row r="865">
      <c r="A865" s="1" t="s">
        <v>723</v>
      </c>
      <c r="B865" s="1" t="str">
        <f>IFERROR(__xludf.DUMMYFUNCTION("GOOGLETRANSLATE(A791, ""zh-CN"", ""en"")"),"Guangdong Province")</f>
        <v>Guangdong Province</v>
      </c>
      <c r="C865" s="1" t="s">
        <v>732</v>
      </c>
      <c r="D865" s="1" t="str">
        <f>IFERROR(__xludf.DUMMYFUNCTION("GOOGLETRANSLATE(C865, ""zh-CN"", ""en"")"),"Maoming City")</f>
        <v>Maoming City</v>
      </c>
      <c r="E865" s="1" t="s">
        <v>24</v>
      </c>
      <c r="F865" s="1" t="str">
        <f>IFERROR(__xludf.DUMMYFUNCTION("GOOGLETRANSLATE(E865, ""zh-CN"", ""en"")"),"City area")</f>
        <v>City area</v>
      </c>
      <c r="G865" s="1">
        <v>4.40901E11</v>
      </c>
    </row>
    <row r="866">
      <c r="A866" s="1" t="s">
        <v>723</v>
      </c>
      <c r="B866" s="1" t="str">
        <f>IFERROR(__xludf.DUMMYFUNCTION("GOOGLETRANSLATE(A792, ""zh-CN"", ""en"")"),"Guangdong Province")</f>
        <v>Guangdong Province</v>
      </c>
      <c r="C866" s="1" t="s">
        <v>732</v>
      </c>
      <c r="D866" s="1" t="str">
        <f>IFERROR(__xludf.DUMMYFUNCTION("GOOGLETRANSLATE(C866, ""zh-CN"", ""en"")"),"Maoming City")</f>
        <v>Maoming City</v>
      </c>
      <c r="E866" s="1" t="s">
        <v>806</v>
      </c>
      <c r="F866" s="1" t="str">
        <f>IFERROR(__xludf.DUMMYFUNCTION("GOOGLETRANSLATE(E866, ""zh-CN"", ""en"")"),"Maonan District")</f>
        <v>Maonan District</v>
      </c>
      <c r="G866" s="1">
        <v>4.40902E11</v>
      </c>
    </row>
    <row r="867">
      <c r="A867" s="1" t="s">
        <v>723</v>
      </c>
      <c r="B867" s="1" t="str">
        <f>IFERROR(__xludf.DUMMYFUNCTION("GOOGLETRANSLATE(A793, ""zh-CN"", ""en"")"),"Guangdong Province")</f>
        <v>Guangdong Province</v>
      </c>
      <c r="C867" s="1" t="s">
        <v>732</v>
      </c>
      <c r="D867" s="1" t="str">
        <f>IFERROR(__xludf.DUMMYFUNCTION("GOOGLETRANSLATE(C867, ""zh-CN"", ""en"")"),"Maoming City")</f>
        <v>Maoming City</v>
      </c>
      <c r="E867" s="1" t="s">
        <v>807</v>
      </c>
      <c r="F867" s="1" t="str">
        <f>IFERROR(__xludf.DUMMYFUNCTION("GOOGLETRANSLATE(E867, ""zh-CN"", ""en"")"),"Electric white area")</f>
        <v>Electric white area</v>
      </c>
      <c r="G867" s="1">
        <v>4.40904E11</v>
      </c>
    </row>
    <row r="868">
      <c r="A868" s="1" t="s">
        <v>723</v>
      </c>
      <c r="B868" s="1" t="str">
        <f>IFERROR(__xludf.DUMMYFUNCTION("GOOGLETRANSLATE(A794, ""zh-CN"", ""en"")"),"Guangdong Province")</f>
        <v>Guangdong Province</v>
      </c>
      <c r="C868" s="1" t="s">
        <v>732</v>
      </c>
      <c r="D868" s="1" t="str">
        <f>IFERROR(__xludf.DUMMYFUNCTION("GOOGLETRANSLATE(C868, ""zh-CN"", ""en"")"),"Maoming City")</f>
        <v>Maoming City</v>
      </c>
      <c r="E868" s="1" t="s">
        <v>808</v>
      </c>
      <c r="F868" s="1" t="str">
        <f>IFERROR(__xludf.DUMMYFUNCTION("GOOGLETRANSLATE(E868, ""zh-CN"", ""en"")"),"Gaozhou")</f>
        <v>Gaozhou</v>
      </c>
      <c r="G868" s="1">
        <v>4.40981E11</v>
      </c>
    </row>
    <row r="869">
      <c r="A869" s="1" t="s">
        <v>723</v>
      </c>
      <c r="B869" s="1" t="str">
        <f>IFERROR(__xludf.DUMMYFUNCTION("GOOGLETRANSLATE(A795, ""zh-CN"", ""en"")"),"Guangdong Province")</f>
        <v>Guangdong Province</v>
      </c>
      <c r="C869" s="1" t="s">
        <v>732</v>
      </c>
      <c r="D869" s="1" t="str">
        <f>IFERROR(__xludf.DUMMYFUNCTION("GOOGLETRANSLATE(C869, ""zh-CN"", ""en"")"),"Maoming City")</f>
        <v>Maoming City</v>
      </c>
      <c r="E869" s="1" t="s">
        <v>809</v>
      </c>
      <c r="F869" s="1" t="str">
        <f>IFERROR(__xludf.DUMMYFUNCTION("GOOGLETRANSLATE(E869, ""zh-CN"", ""en"")"),"Huazhou")</f>
        <v>Huazhou</v>
      </c>
      <c r="G869" s="1">
        <v>4.40982E11</v>
      </c>
    </row>
    <row r="870">
      <c r="A870" s="1" t="s">
        <v>723</v>
      </c>
      <c r="B870" s="1" t="str">
        <f>IFERROR(__xludf.DUMMYFUNCTION("GOOGLETRANSLATE(A796, ""zh-CN"", ""en"")"),"Guangdong Province")</f>
        <v>Guangdong Province</v>
      </c>
      <c r="C870" s="1" t="s">
        <v>732</v>
      </c>
      <c r="D870" s="1" t="str">
        <f>IFERROR(__xludf.DUMMYFUNCTION("GOOGLETRANSLATE(C870, ""zh-CN"", ""en"")"),"Maoming City")</f>
        <v>Maoming City</v>
      </c>
      <c r="E870" s="1" t="s">
        <v>810</v>
      </c>
      <c r="F870" s="1" t="str">
        <f>IFERROR(__xludf.DUMMYFUNCTION("GOOGLETRANSLATE(E870, ""zh-CN"", ""en"")"),"Xinyi City")</f>
        <v>Xinyi City</v>
      </c>
      <c r="G870" s="1">
        <v>4.40983E11</v>
      </c>
    </row>
    <row r="871">
      <c r="A871" s="1" t="s">
        <v>723</v>
      </c>
      <c r="B871" s="1" t="str">
        <f>IFERROR(__xludf.DUMMYFUNCTION("GOOGLETRANSLATE(A797, ""zh-CN"", ""en"")"),"Guangdong Province")</f>
        <v>Guangdong Province</v>
      </c>
      <c r="C871" s="1" t="s">
        <v>733</v>
      </c>
      <c r="D871" s="1" t="str">
        <f>IFERROR(__xludf.DUMMYFUNCTION("GOOGLETRANSLATE(C871, ""zh-CN"", ""en"")"),"Zhaoqing")</f>
        <v>Zhaoqing</v>
      </c>
      <c r="E871" s="1" t="s">
        <v>24</v>
      </c>
      <c r="F871" s="1" t="str">
        <f>IFERROR(__xludf.DUMMYFUNCTION("GOOGLETRANSLATE(E871, ""zh-CN"", ""en"")"),"City area")</f>
        <v>City area</v>
      </c>
      <c r="G871" s="1">
        <v>4.41201E11</v>
      </c>
    </row>
    <row r="872">
      <c r="A872" s="1" t="s">
        <v>723</v>
      </c>
      <c r="B872" s="1" t="str">
        <f>IFERROR(__xludf.DUMMYFUNCTION("GOOGLETRANSLATE(A798, ""zh-CN"", ""en"")"),"Guangdong Province")</f>
        <v>Guangdong Province</v>
      </c>
      <c r="C872" s="1" t="s">
        <v>733</v>
      </c>
      <c r="D872" s="1" t="str">
        <f>IFERROR(__xludf.DUMMYFUNCTION("GOOGLETRANSLATE(C872, ""zh-CN"", ""en"")"),"Zhaoqing")</f>
        <v>Zhaoqing</v>
      </c>
      <c r="E872" s="1" t="s">
        <v>811</v>
      </c>
      <c r="F872" s="1" t="str">
        <f>IFERROR(__xludf.DUMMYFUNCTION("GOOGLETRANSLATE(E872, ""zh-CN"", ""en"")"),"Duanzhou District")</f>
        <v>Duanzhou District</v>
      </c>
      <c r="G872" s="1">
        <v>4.41202E11</v>
      </c>
    </row>
    <row r="873">
      <c r="A873" s="1" t="s">
        <v>723</v>
      </c>
      <c r="B873" s="1" t="str">
        <f>IFERROR(__xludf.DUMMYFUNCTION("GOOGLETRANSLATE(A799, ""zh-CN"", ""en"")"),"Guangdong Province")</f>
        <v>Guangdong Province</v>
      </c>
      <c r="C873" s="1" t="s">
        <v>733</v>
      </c>
      <c r="D873" s="1" t="str">
        <f>IFERROR(__xludf.DUMMYFUNCTION("GOOGLETRANSLATE(C873, ""zh-CN"", ""en"")"),"Zhaoqing")</f>
        <v>Zhaoqing</v>
      </c>
      <c r="E873" s="1" t="s">
        <v>812</v>
      </c>
      <c r="F873" s="1" t="str">
        <f>IFERROR(__xludf.DUMMYFUNCTION("GOOGLETRANSLATE(E873, ""zh-CN"", ""en"")"),"Dinghu District")</f>
        <v>Dinghu District</v>
      </c>
      <c r="G873" s="1">
        <v>4.41203E11</v>
      </c>
    </row>
    <row r="874">
      <c r="A874" s="1" t="s">
        <v>723</v>
      </c>
      <c r="B874" s="1" t="str">
        <f>IFERROR(__xludf.DUMMYFUNCTION("GOOGLETRANSLATE(A800, ""zh-CN"", ""en"")"),"Guangdong Province")</f>
        <v>Guangdong Province</v>
      </c>
      <c r="C874" s="1" t="s">
        <v>733</v>
      </c>
      <c r="D874" s="1" t="str">
        <f>IFERROR(__xludf.DUMMYFUNCTION("GOOGLETRANSLATE(C874, ""zh-CN"", ""en"")"),"Zhaoqing")</f>
        <v>Zhaoqing</v>
      </c>
      <c r="E874" s="1" t="s">
        <v>813</v>
      </c>
      <c r="F874" s="1" t="str">
        <f>IFERROR(__xludf.DUMMYFUNCTION("GOOGLETRANSLATE(E874, ""zh-CN"", ""en"")"),"Highlight")</f>
        <v>Highlight</v>
      </c>
      <c r="G874" s="1">
        <v>4.41204E11</v>
      </c>
    </row>
    <row r="875">
      <c r="A875" s="1" t="s">
        <v>723</v>
      </c>
      <c r="B875" s="1" t="str">
        <f>IFERROR(__xludf.DUMMYFUNCTION("GOOGLETRANSLATE(A801, ""zh-CN"", ""en"")"),"Guangdong Province")</f>
        <v>Guangdong Province</v>
      </c>
      <c r="C875" s="1" t="s">
        <v>733</v>
      </c>
      <c r="D875" s="1" t="str">
        <f>IFERROR(__xludf.DUMMYFUNCTION("GOOGLETRANSLATE(C875, ""zh-CN"", ""en"")"),"Zhaoqing")</f>
        <v>Zhaoqing</v>
      </c>
      <c r="E875" s="1" t="s">
        <v>814</v>
      </c>
      <c r="F875" s="1" t="str">
        <f>IFERROR(__xludf.DUMMYFUNCTION("GOOGLETRANSLATE(E875, ""zh-CN"", ""en"")"),"Guangning County")</f>
        <v>Guangning County</v>
      </c>
      <c r="G875" s="1">
        <v>4.41223E11</v>
      </c>
    </row>
    <row r="876">
      <c r="A876" s="1" t="s">
        <v>723</v>
      </c>
      <c r="B876" s="1" t="str">
        <f>IFERROR(__xludf.DUMMYFUNCTION("GOOGLETRANSLATE(A802, ""zh-CN"", ""en"")"),"Guangdong Province")</f>
        <v>Guangdong Province</v>
      </c>
      <c r="C876" s="1" t="s">
        <v>733</v>
      </c>
      <c r="D876" s="1" t="str">
        <f>IFERROR(__xludf.DUMMYFUNCTION("GOOGLETRANSLATE(C876, ""zh-CN"", ""en"")"),"Zhaoqing")</f>
        <v>Zhaoqing</v>
      </c>
      <c r="E876" s="1" t="s">
        <v>815</v>
      </c>
      <c r="F876" s="1" t="str">
        <f>IFERROR(__xludf.DUMMYFUNCTION("GOOGLETRANSLATE(E876, ""zh-CN"", ""en"")"),"Huaiji County")</f>
        <v>Huaiji County</v>
      </c>
      <c r="G876" s="1">
        <v>4.41224E11</v>
      </c>
    </row>
    <row r="877">
      <c r="A877" s="1" t="s">
        <v>723</v>
      </c>
      <c r="B877" s="1" t="str">
        <f>IFERROR(__xludf.DUMMYFUNCTION("GOOGLETRANSLATE(A803, ""zh-CN"", ""en"")"),"Guangdong Province")</f>
        <v>Guangdong Province</v>
      </c>
      <c r="C877" s="1" t="s">
        <v>733</v>
      </c>
      <c r="D877" s="1" t="str">
        <f>IFERROR(__xludf.DUMMYFUNCTION("GOOGLETRANSLATE(C877, ""zh-CN"", ""en"")"),"Zhaoqing")</f>
        <v>Zhaoqing</v>
      </c>
      <c r="E877" s="1" t="s">
        <v>816</v>
      </c>
      <c r="F877" s="1" t="str">
        <f>IFERROR(__xludf.DUMMYFUNCTION("GOOGLETRANSLATE(E877, ""zh-CN"", ""en"")"),"Fengkai County")</f>
        <v>Fengkai County</v>
      </c>
      <c r="G877" s="1">
        <v>4.41225E11</v>
      </c>
    </row>
    <row r="878">
      <c r="A878" s="1" t="s">
        <v>723</v>
      </c>
      <c r="B878" s="1" t="str">
        <f>IFERROR(__xludf.DUMMYFUNCTION("GOOGLETRANSLATE(A804, ""zh-CN"", ""en"")"),"Guangdong Province")</f>
        <v>Guangdong Province</v>
      </c>
      <c r="C878" s="1" t="s">
        <v>733</v>
      </c>
      <c r="D878" s="1" t="str">
        <f>IFERROR(__xludf.DUMMYFUNCTION("GOOGLETRANSLATE(C878, ""zh-CN"", ""en"")"),"Zhaoqing")</f>
        <v>Zhaoqing</v>
      </c>
      <c r="E878" s="1" t="s">
        <v>817</v>
      </c>
      <c r="F878" s="1" t="str">
        <f>IFERROR(__xludf.DUMMYFUNCTION("GOOGLETRANSLATE(E878, ""zh-CN"", ""en"")"),"Deqing County")</f>
        <v>Deqing County</v>
      </c>
      <c r="G878" s="1">
        <v>4.41226E11</v>
      </c>
    </row>
    <row r="879">
      <c r="A879" s="1" t="s">
        <v>723</v>
      </c>
      <c r="B879" s="1" t="str">
        <f>IFERROR(__xludf.DUMMYFUNCTION("GOOGLETRANSLATE(A805, ""zh-CN"", ""en"")"),"Guangdong Province")</f>
        <v>Guangdong Province</v>
      </c>
      <c r="C879" s="1" t="s">
        <v>733</v>
      </c>
      <c r="D879" s="1" t="str">
        <f>IFERROR(__xludf.DUMMYFUNCTION("GOOGLETRANSLATE(C879, ""zh-CN"", ""en"")"),"Zhaoqing")</f>
        <v>Zhaoqing</v>
      </c>
      <c r="E879" s="1" t="s">
        <v>818</v>
      </c>
      <c r="F879" s="1" t="str">
        <f>IFERROR(__xludf.DUMMYFUNCTION("GOOGLETRANSLATE(E879, ""zh-CN"", ""en"")"),"Sihui City")</f>
        <v>Sihui City</v>
      </c>
      <c r="G879" s="1">
        <v>4.41284E11</v>
      </c>
    </row>
    <row r="880">
      <c r="A880" s="1" t="s">
        <v>723</v>
      </c>
      <c r="B880" s="1" t="str">
        <f>IFERROR(__xludf.DUMMYFUNCTION("GOOGLETRANSLATE(A806, ""zh-CN"", ""en"")"),"Guangdong Province")</f>
        <v>Guangdong Province</v>
      </c>
      <c r="C880" s="1" t="s">
        <v>734</v>
      </c>
      <c r="D880" s="1" t="str">
        <f>IFERROR(__xludf.DUMMYFUNCTION("GOOGLETRANSLATE(C880, ""zh-CN"", ""en"")"),"Huizhou")</f>
        <v>Huizhou</v>
      </c>
      <c r="E880" s="1" t="s">
        <v>24</v>
      </c>
      <c r="F880" s="1" t="str">
        <f>IFERROR(__xludf.DUMMYFUNCTION("GOOGLETRANSLATE(E880, ""zh-CN"", ""en"")"),"City area")</f>
        <v>City area</v>
      </c>
      <c r="G880" s="1">
        <v>4.41301E11</v>
      </c>
    </row>
    <row r="881">
      <c r="A881" s="1" t="s">
        <v>723</v>
      </c>
      <c r="B881" s="1" t="str">
        <f>IFERROR(__xludf.DUMMYFUNCTION("GOOGLETRANSLATE(A807, ""zh-CN"", ""en"")"),"Guangdong Province")</f>
        <v>Guangdong Province</v>
      </c>
      <c r="C881" s="1" t="s">
        <v>734</v>
      </c>
      <c r="D881" s="1" t="str">
        <f>IFERROR(__xludf.DUMMYFUNCTION("GOOGLETRANSLATE(C881, ""zh-CN"", ""en"")"),"Huizhou")</f>
        <v>Huizhou</v>
      </c>
      <c r="E881" s="1" t="s">
        <v>819</v>
      </c>
      <c r="F881" s="1" t="str">
        <f>IFERROR(__xludf.DUMMYFUNCTION("GOOGLETRANSLATE(E881, ""zh-CN"", ""en"")"),"Huicheng District")</f>
        <v>Huicheng District</v>
      </c>
      <c r="G881" s="1">
        <v>4.41302E11</v>
      </c>
    </row>
    <row r="882">
      <c r="A882" s="1" t="s">
        <v>723</v>
      </c>
      <c r="B882" s="1" t="str">
        <f>IFERROR(__xludf.DUMMYFUNCTION("GOOGLETRANSLATE(A808, ""zh-CN"", ""en"")"),"Guangdong Province")</f>
        <v>Guangdong Province</v>
      </c>
      <c r="C882" s="1" t="s">
        <v>734</v>
      </c>
      <c r="D882" s="1" t="str">
        <f>IFERROR(__xludf.DUMMYFUNCTION("GOOGLETRANSLATE(C882, ""zh-CN"", ""en"")"),"Huizhou")</f>
        <v>Huizhou</v>
      </c>
      <c r="E882" s="1" t="s">
        <v>820</v>
      </c>
      <c r="F882" s="1" t="str">
        <f>IFERROR(__xludf.DUMMYFUNCTION("GOOGLETRANSLATE(E882, ""zh-CN"", ""en"")"),"Huiyang District")</f>
        <v>Huiyang District</v>
      </c>
      <c r="G882" s="1">
        <v>4.41303E11</v>
      </c>
    </row>
    <row r="883">
      <c r="A883" s="1" t="s">
        <v>723</v>
      </c>
      <c r="B883" s="1" t="str">
        <f>IFERROR(__xludf.DUMMYFUNCTION("GOOGLETRANSLATE(A809, ""zh-CN"", ""en"")"),"Guangdong Province")</f>
        <v>Guangdong Province</v>
      </c>
      <c r="C883" s="1" t="s">
        <v>734</v>
      </c>
      <c r="D883" s="1" t="str">
        <f>IFERROR(__xludf.DUMMYFUNCTION("GOOGLETRANSLATE(C883, ""zh-CN"", ""en"")"),"Huizhou")</f>
        <v>Huizhou</v>
      </c>
      <c r="E883" s="1" t="s">
        <v>821</v>
      </c>
      <c r="F883" s="1" t="str">
        <f>IFERROR(__xludf.DUMMYFUNCTION("GOOGLETRANSLATE(E883, ""zh-CN"", ""en"")"),"Bolo County")</f>
        <v>Bolo County</v>
      </c>
      <c r="G883" s="1">
        <v>4.41322E11</v>
      </c>
    </row>
    <row r="884">
      <c r="A884" s="1" t="s">
        <v>723</v>
      </c>
      <c r="B884" s="1" t="str">
        <f>IFERROR(__xludf.DUMMYFUNCTION("GOOGLETRANSLATE(A810, ""zh-CN"", ""en"")"),"Guangdong Province")</f>
        <v>Guangdong Province</v>
      </c>
      <c r="C884" s="1" t="s">
        <v>734</v>
      </c>
      <c r="D884" s="1" t="str">
        <f>IFERROR(__xludf.DUMMYFUNCTION("GOOGLETRANSLATE(C884, ""zh-CN"", ""en"")"),"Huizhou")</f>
        <v>Huizhou</v>
      </c>
      <c r="E884" s="1" t="s">
        <v>822</v>
      </c>
      <c r="F884" s="1" t="str">
        <f>IFERROR(__xludf.DUMMYFUNCTION("GOOGLETRANSLATE(E884, ""zh-CN"", ""en"")"),"Huidong County")</f>
        <v>Huidong County</v>
      </c>
      <c r="G884" s="1">
        <v>4.41323E11</v>
      </c>
    </row>
    <row r="885">
      <c r="A885" s="1" t="s">
        <v>723</v>
      </c>
      <c r="B885" s="1" t="str">
        <f>IFERROR(__xludf.DUMMYFUNCTION("GOOGLETRANSLATE(A811, ""zh-CN"", ""en"")"),"Guangdong Province")</f>
        <v>Guangdong Province</v>
      </c>
      <c r="C885" s="1" t="s">
        <v>734</v>
      </c>
      <c r="D885" s="1" t="str">
        <f>IFERROR(__xludf.DUMMYFUNCTION("GOOGLETRANSLATE(C885, ""zh-CN"", ""en"")"),"Huizhou")</f>
        <v>Huizhou</v>
      </c>
      <c r="E885" s="1" t="s">
        <v>823</v>
      </c>
      <c r="F885" s="1" t="str">
        <f>IFERROR(__xludf.DUMMYFUNCTION("GOOGLETRANSLATE(E885, ""zh-CN"", ""en"")"),"Longmen County")</f>
        <v>Longmen County</v>
      </c>
      <c r="G885" s="1">
        <v>4.41324E11</v>
      </c>
    </row>
    <row r="886">
      <c r="A886" s="1" t="s">
        <v>723</v>
      </c>
      <c r="B886" s="1" t="str">
        <f>IFERROR(__xludf.DUMMYFUNCTION("GOOGLETRANSLATE(A812, ""zh-CN"", ""en"")"),"Guangdong Province")</f>
        <v>Guangdong Province</v>
      </c>
      <c r="C886" s="1" t="s">
        <v>735</v>
      </c>
      <c r="D886" s="1" t="str">
        <f>IFERROR(__xludf.DUMMYFUNCTION("GOOGLETRANSLATE(C886, ""zh-CN"", ""en"")"),"Meizhou")</f>
        <v>Meizhou</v>
      </c>
      <c r="E886" s="1" t="s">
        <v>24</v>
      </c>
      <c r="F886" s="1" t="str">
        <f>IFERROR(__xludf.DUMMYFUNCTION("GOOGLETRANSLATE(E886, ""zh-CN"", ""en"")"),"City area")</f>
        <v>City area</v>
      </c>
      <c r="G886" s="1">
        <v>4.41401E11</v>
      </c>
    </row>
    <row r="887">
      <c r="A887" s="1" t="s">
        <v>723</v>
      </c>
      <c r="B887" s="1" t="str">
        <f>IFERROR(__xludf.DUMMYFUNCTION("GOOGLETRANSLATE(A813, ""zh-CN"", ""en"")"),"Guangdong Province")</f>
        <v>Guangdong Province</v>
      </c>
      <c r="C887" s="1" t="s">
        <v>735</v>
      </c>
      <c r="D887" s="1" t="str">
        <f>IFERROR(__xludf.DUMMYFUNCTION("GOOGLETRANSLATE(C887, ""zh-CN"", ""en"")"),"Meizhou")</f>
        <v>Meizhou</v>
      </c>
      <c r="E887" s="1" t="s">
        <v>824</v>
      </c>
      <c r="F887" s="1" t="str">
        <f>IFERROR(__xludf.DUMMYFUNCTION("GOOGLETRANSLATE(E887, ""zh-CN"", ""en"")"),"Meijiang District")</f>
        <v>Meijiang District</v>
      </c>
      <c r="G887" s="1">
        <v>4.41402E11</v>
      </c>
    </row>
    <row r="888">
      <c r="A888" s="1" t="s">
        <v>723</v>
      </c>
      <c r="B888" s="1" t="str">
        <f>IFERROR(__xludf.DUMMYFUNCTION("GOOGLETRANSLATE(A814, ""zh-CN"", ""en"")"),"Guangdong Province")</f>
        <v>Guangdong Province</v>
      </c>
      <c r="C888" s="1" t="s">
        <v>735</v>
      </c>
      <c r="D888" s="1" t="str">
        <f>IFERROR(__xludf.DUMMYFUNCTION("GOOGLETRANSLATE(C888, ""zh-CN"", ""en"")"),"Meizhou")</f>
        <v>Meizhou</v>
      </c>
      <c r="E888" s="1" t="s">
        <v>825</v>
      </c>
      <c r="F888" s="1" t="str">
        <f>IFERROR(__xludf.DUMMYFUNCTION("GOOGLETRANSLATE(E888, ""zh-CN"", ""en"")"),"Meixian District")</f>
        <v>Meixian District</v>
      </c>
      <c r="G888" s="1">
        <v>4.41403E11</v>
      </c>
    </row>
    <row r="889">
      <c r="A889" s="1" t="s">
        <v>723</v>
      </c>
      <c r="B889" s="1" t="str">
        <f>IFERROR(__xludf.DUMMYFUNCTION("GOOGLETRANSLATE(A815, ""zh-CN"", ""en"")"),"Guangdong Province")</f>
        <v>Guangdong Province</v>
      </c>
      <c r="C889" s="1" t="s">
        <v>735</v>
      </c>
      <c r="D889" s="1" t="str">
        <f>IFERROR(__xludf.DUMMYFUNCTION("GOOGLETRANSLATE(C889, ""zh-CN"", ""en"")"),"Meizhou")</f>
        <v>Meizhou</v>
      </c>
      <c r="E889" s="1" t="s">
        <v>826</v>
      </c>
      <c r="F889" s="1" t="str">
        <f>IFERROR(__xludf.DUMMYFUNCTION("GOOGLETRANSLATE(E889, ""zh-CN"", ""en"")"),"Tai Po County")</f>
        <v>Tai Po County</v>
      </c>
      <c r="G889" s="1">
        <v>4.41422E11</v>
      </c>
    </row>
    <row r="890">
      <c r="A890" s="1" t="s">
        <v>723</v>
      </c>
      <c r="B890" s="1" t="str">
        <f>IFERROR(__xludf.DUMMYFUNCTION("GOOGLETRANSLATE(A816, ""zh-CN"", ""en"")"),"Guangdong Province")</f>
        <v>Guangdong Province</v>
      </c>
      <c r="C890" s="1" t="s">
        <v>735</v>
      </c>
      <c r="D890" s="1" t="str">
        <f>IFERROR(__xludf.DUMMYFUNCTION("GOOGLETRANSLATE(C890, ""zh-CN"", ""en"")"),"Meizhou")</f>
        <v>Meizhou</v>
      </c>
      <c r="E890" s="1" t="s">
        <v>827</v>
      </c>
      <c r="F890" s="1" t="str">
        <f>IFERROR(__xludf.DUMMYFUNCTION("GOOGLETRANSLATE(E890, ""zh-CN"", ""en"")"),"Fengshun County")</f>
        <v>Fengshun County</v>
      </c>
      <c r="G890" s="1">
        <v>4.41423E11</v>
      </c>
    </row>
    <row r="891">
      <c r="A891" s="1" t="s">
        <v>723</v>
      </c>
      <c r="B891" s="1" t="str">
        <f>IFERROR(__xludf.DUMMYFUNCTION("GOOGLETRANSLATE(A817, ""zh-CN"", ""en"")"),"Guangdong Province")</f>
        <v>Guangdong Province</v>
      </c>
      <c r="C891" s="1" t="s">
        <v>735</v>
      </c>
      <c r="D891" s="1" t="str">
        <f>IFERROR(__xludf.DUMMYFUNCTION("GOOGLETRANSLATE(C891, ""zh-CN"", ""en"")"),"Meizhou")</f>
        <v>Meizhou</v>
      </c>
      <c r="E891" s="1" t="s">
        <v>828</v>
      </c>
      <c r="F891" s="1" t="str">
        <f>IFERROR(__xludf.DUMMYFUNCTION("GOOGLETRANSLATE(E891, ""zh-CN"", ""en"")"),"Wuhua County")</f>
        <v>Wuhua County</v>
      </c>
      <c r="G891" s="1">
        <v>4.41424E11</v>
      </c>
    </row>
    <row r="892">
      <c r="A892" s="1" t="s">
        <v>723</v>
      </c>
      <c r="B892" s="1" t="str">
        <f>IFERROR(__xludf.DUMMYFUNCTION("GOOGLETRANSLATE(A818, ""zh-CN"", ""en"")"),"Guangdong Province")</f>
        <v>Guangdong Province</v>
      </c>
      <c r="C892" s="1" t="s">
        <v>735</v>
      </c>
      <c r="D892" s="1" t="str">
        <f>IFERROR(__xludf.DUMMYFUNCTION("GOOGLETRANSLATE(C892, ""zh-CN"", ""en"")"),"Meizhou")</f>
        <v>Meizhou</v>
      </c>
      <c r="E892" s="1" t="s">
        <v>829</v>
      </c>
      <c r="F892" s="1" t="str">
        <f>IFERROR(__xludf.DUMMYFUNCTION("GOOGLETRANSLATE(E892, ""zh-CN"", ""en"")"),"Pingyuan County")</f>
        <v>Pingyuan County</v>
      </c>
      <c r="G892" s="1">
        <v>4.41426E11</v>
      </c>
    </row>
    <row r="893">
      <c r="A893" s="1" t="s">
        <v>723</v>
      </c>
      <c r="B893" s="1" t="str">
        <f>IFERROR(__xludf.DUMMYFUNCTION("GOOGLETRANSLATE(A819, ""zh-CN"", ""en"")"),"Guangdong Province")</f>
        <v>Guangdong Province</v>
      </c>
      <c r="C893" s="1" t="s">
        <v>735</v>
      </c>
      <c r="D893" s="1" t="str">
        <f>IFERROR(__xludf.DUMMYFUNCTION("GOOGLETRANSLATE(C893, ""zh-CN"", ""en"")"),"Meizhou")</f>
        <v>Meizhou</v>
      </c>
      <c r="E893" s="1" t="s">
        <v>830</v>
      </c>
      <c r="F893" s="1" t="str">
        <f>IFERROR(__xludf.DUMMYFUNCTION("GOOGLETRANSLATE(E893, ""zh-CN"", ""en"")"),"Jialing County")</f>
        <v>Jialing County</v>
      </c>
      <c r="G893" s="1">
        <v>4.41427E11</v>
      </c>
    </row>
    <row r="894">
      <c r="A894" s="1" t="s">
        <v>723</v>
      </c>
      <c r="B894" s="1" t="str">
        <f>IFERROR(__xludf.DUMMYFUNCTION("GOOGLETRANSLATE(A820, ""zh-CN"", ""en"")"),"Guangdong Province")</f>
        <v>Guangdong Province</v>
      </c>
      <c r="C894" s="1" t="s">
        <v>735</v>
      </c>
      <c r="D894" s="1" t="str">
        <f>IFERROR(__xludf.DUMMYFUNCTION("GOOGLETRANSLATE(C894, ""zh-CN"", ""en"")"),"Meizhou")</f>
        <v>Meizhou</v>
      </c>
      <c r="E894" s="1" t="s">
        <v>831</v>
      </c>
      <c r="F894" s="1" t="str">
        <f>IFERROR(__xludf.DUMMYFUNCTION("GOOGLETRANSLATE(E894, ""zh-CN"", ""en"")"),"Xingning City")</f>
        <v>Xingning City</v>
      </c>
      <c r="G894" s="1">
        <v>4.41481E11</v>
      </c>
    </row>
    <row r="895">
      <c r="A895" s="1" t="s">
        <v>723</v>
      </c>
      <c r="B895" s="1" t="str">
        <f>IFERROR(__xludf.DUMMYFUNCTION("GOOGLETRANSLATE(A821, ""zh-CN"", ""en"")"),"Guangdong Province")</f>
        <v>Guangdong Province</v>
      </c>
      <c r="C895" s="1" t="s">
        <v>736</v>
      </c>
      <c r="D895" s="1" t="str">
        <f>IFERROR(__xludf.DUMMYFUNCTION("GOOGLETRANSLATE(C895, ""zh-CN"", ""en"")"),"Shanwei City")</f>
        <v>Shanwei City</v>
      </c>
      <c r="E895" s="1" t="s">
        <v>24</v>
      </c>
      <c r="F895" s="1" t="str">
        <f>IFERROR(__xludf.DUMMYFUNCTION("GOOGLETRANSLATE(E895, ""zh-CN"", ""en"")"),"City area")</f>
        <v>City area</v>
      </c>
      <c r="G895" s="1">
        <v>4.41501E11</v>
      </c>
    </row>
    <row r="896">
      <c r="A896" s="1" t="s">
        <v>723</v>
      </c>
      <c r="B896" s="1" t="str">
        <f>IFERROR(__xludf.DUMMYFUNCTION("GOOGLETRANSLATE(A822, ""zh-CN"", ""en"")"),"Guangdong Province")</f>
        <v>Guangdong Province</v>
      </c>
      <c r="C896" s="1" t="s">
        <v>736</v>
      </c>
      <c r="D896" s="1" t="str">
        <f>IFERROR(__xludf.DUMMYFUNCTION("GOOGLETRANSLATE(C896, ""zh-CN"", ""en"")"),"Shanwei City")</f>
        <v>Shanwei City</v>
      </c>
      <c r="E896" s="1" t="s">
        <v>167</v>
      </c>
      <c r="F896" s="1" t="str">
        <f>IFERROR(__xludf.DUMMYFUNCTION("GOOGLETRANSLATE(E896, ""zh-CN"", ""en"")"),"Urban area")</f>
        <v>Urban area</v>
      </c>
      <c r="G896" s="1">
        <v>4.41502E11</v>
      </c>
    </row>
    <row r="897">
      <c r="A897" s="1" t="s">
        <v>723</v>
      </c>
      <c r="B897" s="1" t="str">
        <f>IFERROR(__xludf.DUMMYFUNCTION("GOOGLETRANSLATE(A823, ""zh-CN"", ""en"")"),"Guangdong Province")</f>
        <v>Guangdong Province</v>
      </c>
      <c r="C897" s="1" t="s">
        <v>736</v>
      </c>
      <c r="D897" s="1" t="str">
        <f>IFERROR(__xludf.DUMMYFUNCTION("GOOGLETRANSLATE(C897, ""zh-CN"", ""en"")"),"Shanwei City")</f>
        <v>Shanwei City</v>
      </c>
      <c r="E897" s="1" t="s">
        <v>832</v>
      </c>
      <c r="F897" s="1" t="str">
        <f>IFERROR(__xludf.DUMMYFUNCTION("GOOGLETRANSLATE(E897, ""zh-CN"", ""en"")"),"Haifeng County")</f>
        <v>Haifeng County</v>
      </c>
      <c r="G897" s="1">
        <v>4.41521E11</v>
      </c>
    </row>
    <row r="898">
      <c r="A898" s="1" t="s">
        <v>723</v>
      </c>
      <c r="B898" s="1" t="str">
        <f>IFERROR(__xludf.DUMMYFUNCTION("GOOGLETRANSLATE(A824, ""zh-CN"", ""en"")"),"Guangdong Province")</f>
        <v>Guangdong Province</v>
      </c>
      <c r="C898" s="1" t="s">
        <v>736</v>
      </c>
      <c r="D898" s="1" t="str">
        <f>IFERROR(__xludf.DUMMYFUNCTION("GOOGLETRANSLATE(C898, ""zh-CN"", ""en"")"),"Shanwei City")</f>
        <v>Shanwei City</v>
      </c>
      <c r="E898" s="1" t="s">
        <v>833</v>
      </c>
      <c r="F898" s="1" t="str">
        <f>IFERROR(__xludf.DUMMYFUNCTION("GOOGLETRANSLATE(E898, ""zh-CN"", ""en"")"),"Luhe County")</f>
        <v>Luhe County</v>
      </c>
      <c r="G898" s="1">
        <v>4.41523E11</v>
      </c>
    </row>
    <row r="899">
      <c r="A899" s="1" t="s">
        <v>723</v>
      </c>
      <c r="B899" s="1" t="str">
        <f>IFERROR(__xludf.DUMMYFUNCTION("GOOGLETRANSLATE(A825, ""zh-CN"", ""en"")"),"Guangdong Province")</f>
        <v>Guangdong Province</v>
      </c>
      <c r="C899" s="1" t="s">
        <v>736</v>
      </c>
      <c r="D899" s="1" t="str">
        <f>IFERROR(__xludf.DUMMYFUNCTION("GOOGLETRANSLATE(C899, ""zh-CN"", ""en"")"),"Shanwei City")</f>
        <v>Shanwei City</v>
      </c>
      <c r="E899" s="1" t="s">
        <v>834</v>
      </c>
      <c r="F899" s="1" t="str">
        <f>IFERROR(__xludf.DUMMYFUNCTION("GOOGLETRANSLATE(E899, ""zh-CN"", ""en"")"),"Lufeng City")</f>
        <v>Lufeng City</v>
      </c>
      <c r="G899" s="1">
        <v>4.41581E11</v>
      </c>
    </row>
    <row r="900">
      <c r="A900" s="1" t="s">
        <v>723</v>
      </c>
      <c r="B900" s="1" t="str">
        <f>IFERROR(__xludf.DUMMYFUNCTION("GOOGLETRANSLATE(A826, ""zh-CN"", ""en"")"),"Guangdong Province")</f>
        <v>Guangdong Province</v>
      </c>
      <c r="C900" s="1" t="s">
        <v>737</v>
      </c>
      <c r="D900" s="1" t="str">
        <f>IFERROR(__xludf.DUMMYFUNCTION("GOOGLETRANSLATE(C900, ""zh-CN"", ""en"")"),"Heyuan City")</f>
        <v>Heyuan City</v>
      </c>
      <c r="E900" s="1" t="s">
        <v>24</v>
      </c>
      <c r="F900" s="1" t="str">
        <f>IFERROR(__xludf.DUMMYFUNCTION("GOOGLETRANSLATE(E900, ""zh-CN"", ""en"")"),"City area")</f>
        <v>City area</v>
      </c>
      <c r="G900" s="1">
        <v>4.41601E11</v>
      </c>
    </row>
    <row r="901">
      <c r="A901" s="1" t="s">
        <v>723</v>
      </c>
      <c r="B901" s="1" t="str">
        <f>IFERROR(__xludf.DUMMYFUNCTION("GOOGLETRANSLATE(A827, ""zh-CN"", ""en"")"),"Guangdong Province")</f>
        <v>Guangdong Province</v>
      </c>
      <c r="C901" s="1" t="s">
        <v>737</v>
      </c>
      <c r="D901" s="1" t="str">
        <f>IFERROR(__xludf.DUMMYFUNCTION("GOOGLETRANSLATE(C901, ""zh-CN"", ""en"")"),"Heyuan City")</f>
        <v>Heyuan City</v>
      </c>
      <c r="E901" s="1" t="s">
        <v>835</v>
      </c>
      <c r="F901" s="1" t="str">
        <f>IFERROR(__xludf.DUMMYFUNCTION("GOOGLETRANSLATE(E901, ""zh-CN"", ""en"")"),"Source area")</f>
        <v>Source area</v>
      </c>
      <c r="G901" s="1">
        <v>4.41602E11</v>
      </c>
    </row>
    <row r="902">
      <c r="A902" s="1" t="s">
        <v>723</v>
      </c>
      <c r="B902" s="1" t="str">
        <f>IFERROR(__xludf.DUMMYFUNCTION("GOOGLETRANSLATE(A828, ""zh-CN"", ""en"")"),"Guangdong Province")</f>
        <v>Guangdong Province</v>
      </c>
      <c r="C902" s="1" t="s">
        <v>737</v>
      </c>
      <c r="D902" s="1" t="str">
        <f>IFERROR(__xludf.DUMMYFUNCTION("GOOGLETRANSLATE(C902, ""zh-CN"", ""en"")"),"Heyuan City")</f>
        <v>Heyuan City</v>
      </c>
      <c r="E902" s="1" t="s">
        <v>836</v>
      </c>
      <c r="F902" s="1" t="str">
        <f>IFERROR(__xludf.DUMMYFUNCTION("GOOGLETRANSLATE(E902, ""zh-CN"", ""en"")"),"Zijin County")</f>
        <v>Zijin County</v>
      </c>
      <c r="G902" s="1">
        <v>4.41621E11</v>
      </c>
    </row>
    <row r="903">
      <c r="A903" s="1" t="s">
        <v>723</v>
      </c>
      <c r="B903" s="1" t="str">
        <f>IFERROR(__xludf.DUMMYFUNCTION("GOOGLETRANSLATE(A829, ""zh-CN"", ""en"")"),"Guangdong Province")</f>
        <v>Guangdong Province</v>
      </c>
      <c r="C903" s="1" t="s">
        <v>737</v>
      </c>
      <c r="D903" s="1" t="str">
        <f>IFERROR(__xludf.DUMMYFUNCTION("GOOGLETRANSLATE(C903, ""zh-CN"", ""en"")"),"Heyuan City")</f>
        <v>Heyuan City</v>
      </c>
      <c r="E903" s="1" t="s">
        <v>837</v>
      </c>
      <c r="F903" s="1" t="str">
        <f>IFERROR(__xludf.DUMMYFUNCTION("GOOGLETRANSLATE(E903, ""zh-CN"", ""en"")"),"Longchuan County")</f>
        <v>Longchuan County</v>
      </c>
      <c r="G903" s="1">
        <v>4.41622E11</v>
      </c>
    </row>
    <row r="904">
      <c r="A904" s="1" t="s">
        <v>723</v>
      </c>
      <c r="B904" s="1" t="str">
        <f>IFERROR(__xludf.DUMMYFUNCTION("GOOGLETRANSLATE(A830, ""zh-CN"", ""en"")"),"Guangdong Province")</f>
        <v>Guangdong Province</v>
      </c>
      <c r="C904" s="1" t="s">
        <v>737</v>
      </c>
      <c r="D904" s="1" t="str">
        <f>IFERROR(__xludf.DUMMYFUNCTION("GOOGLETRANSLATE(C904, ""zh-CN"", ""en"")"),"Heyuan City")</f>
        <v>Heyuan City</v>
      </c>
      <c r="E904" s="1" t="s">
        <v>838</v>
      </c>
      <c r="F904" s="1" t="str">
        <f>IFERROR(__xludf.DUMMYFUNCTION("GOOGLETRANSLATE(E904, ""zh-CN"", ""en"")"),"Lianping County")</f>
        <v>Lianping County</v>
      </c>
      <c r="G904" s="1">
        <v>4.41623E11</v>
      </c>
    </row>
    <row r="905">
      <c r="A905" s="1" t="s">
        <v>723</v>
      </c>
      <c r="B905" s="1" t="str">
        <f>IFERROR(__xludf.DUMMYFUNCTION("GOOGLETRANSLATE(A831, ""zh-CN"", ""en"")"),"Guangdong Province")</f>
        <v>Guangdong Province</v>
      </c>
      <c r="C905" s="1" t="s">
        <v>737</v>
      </c>
      <c r="D905" s="1" t="str">
        <f>IFERROR(__xludf.DUMMYFUNCTION("GOOGLETRANSLATE(C905, ""zh-CN"", ""en"")"),"Heyuan City")</f>
        <v>Heyuan City</v>
      </c>
      <c r="E905" s="1" t="s">
        <v>839</v>
      </c>
      <c r="F905" s="1" t="str">
        <f>IFERROR(__xludf.DUMMYFUNCTION("GOOGLETRANSLATE(E905, ""zh-CN"", ""en"")"),"Heping County")</f>
        <v>Heping County</v>
      </c>
      <c r="G905" s="1">
        <v>4.41624E11</v>
      </c>
    </row>
    <row r="906">
      <c r="A906" s="1" t="s">
        <v>723</v>
      </c>
      <c r="B906" s="1" t="str">
        <f>IFERROR(__xludf.DUMMYFUNCTION("GOOGLETRANSLATE(A832, ""zh-CN"", ""en"")"),"Guangdong Province")</f>
        <v>Guangdong Province</v>
      </c>
      <c r="C906" s="1" t="s">
        <v>737</v>
      </c>
      <c r="D906" s="1" t="str">
        <f>IFERROR(__xludf.DUMMYFUNCTION("GOOGLETRANSLATE(C906, ""zh-CN"", ""en"")"),"Heyuan City")</f>
        <v>Heyuan City</v>
      </c>
      <c r="E906" s="1" t="s">
        <v>840</v>
      </c>
      <c r="F906" s="1" t="str">
        <f>IFERROR(__xludf.DUMMYFUNCTION("GOOGLETRANSLATE(E906, ""zh-CN"", ""en"")"),"Dongyuan County")</f>
        <v>Dongyuan County</v>
      </c>
      <c r="G906" s="1">
        <v>4.41625E11</v>
      </c>
    </row>
    <row r="907">
      <c r="A907" s="1" t="s">
        <v>723</v>
      </c>
      <c r="B907" s="1" t="str">
        <f>IFERROR(__xludf.DUMMYFUNCTION("GOOGLETRANSLATE(A833, ""zh-CN"", ""en"")"),"Guangdong Province")</f>
        <v>Guangdong Province</v>
      </c>
      <c r="C907" s="1" t="s">
        <v>738</v>
      </c>
      <c r="D907" s="1" t="str">
        <f>IFERROR(__xludf.DUMMYFUNCTION("GOOGLETRANSLATE(C907, ""zh-CN"", ""en"")"),"Yangjiang City")</f>
        <v>Yangjiang City</v>
      </c>
      <c r="E907" s="1" t="s">
        <v>24</v>
      </c>
      <c r="F907" s="1" t="str">
        <f>IFERROR(__xludf.DUMMYFUNCTION("GOOGLETRANSLATE(E907, ""zh-CN"", ""en"")"),"City area")</f>
        <v>City area</v>
      </c>
      <c r="G907" s="1">
        <v>4.41701E11</v>
      </c>
    </row>
    <row r="908">
      <c r="A908" s="1" t="s">
        <v>723</v>
      </c>
      <c r="B908" s="1" t="str">
        <f>IFERROR(__xludf.DUMMYFUNCTION("GOOGLETRANSLATE(A834, ""zh-CN"", ""en"")"),"Guangdong Province")</f>
        <v>Guangdong Province</v>
      </c>
      <c r="C908" s="1" t="s">
        <v>738</v>
      </c>
      <c r="D908" s="1" t="str">
        <f>IFERROR(__xludf.DUMMYFUNCTION("GOOGLETRANSLATE(C908, ""zh-CN"", ""en"")"),"Yangjiang City")</f>
        <v>Yangjiang City</v>
      </c>
      <c r="E908" s="1" t="s">
        <v>841</v>
      </c>
      <c r="F908" s="1" t="str">
        <f>IFERROR(__xludf.DUMMYFUNCTION("GOOGLETRANSLATE(E908, ""zh-CN"", ""en"")"),"Jiangcheng District")</f>
        <v>Jiangcheng District</v>
      </c>
      <c r="G908" s="1">
        <v>4.41702E11</v>
      </c>
    </row>
    <row r="909">
      <c r="A909" s="1" t="s">
        <v>723</v>
      </c>
      <c r="B909" s="1" t="str">
        <f>IFERROR(__xludf.DUMMYFUNCTION("GOOGLETRANSLATE(A835, ""zh-CN"", ""en"")"),"Guangdong Province")</f>
        <v>Guangdong Province</v>
      </c>
      <c r="C909" s="1" t="s">
        <v>738</v>
      </c>
      <c r="D909" s="1" t="str">
        <f>IFERROR(__xludf.DUMMYFUNCTION("GOOGLETRANSLATE(C909, ""zh-CN"", ""en"")"),"Yangjiang City")</f>
        <v>Yangjiang City</v>
      </c>
      <c r="E909" s="1" t="s">
        <v>842</v>
      </c>
      <c r="F909" s="1" t="str">
        <f>IFERROR(__xludf.DUMMYFUNCTION("GOOGLETRANSLATE(E909, ""zh-CN"", ""en"")"),"Yangdong District")</f>
        <v>Yangdong District</v>
      </c>
      <c r="G909" s="1">
        <v>4.41704E11</v>
      </c>
    </row>
    <row r="910">
      <c r="A910" s="1" t="s">
        <v>723</v>
      </c>
      <c r="B910" s="1" t="str">
        <f>IFERROR(__xludf.DUMMYFUNCTION("GOOGLETRANSLATE(A836, ""zh-CN"", ""en"")"),"Guangdong Province")</f>
        <v>Guangdong Province</v>
      </c>
      <c r="C910" s="1" t="s">
        <v>738</v>
      </c>
      <c r="D910" s="1" t="str">
        <f>IFERROR(__xludf.DUMMYFUNCTION("GOOGLETRANSLATE(C910, ""zh-CN"", ""en"")"),"Yangjiang City")</f>
        <v>Yangjiang City</v>
      </c>
      <c r="E910" s="1" t="s">
        <v>843</v>
      </c>
      <c r="F910" s="1" t="str">
        <f>IFERROR(__xludf.DUMMYFUNCTION("GOOGLETRANSLATE(E910, ""zh-CN"", ""en"")"),"Yangxi County")</f>
        <v>Yangxi County</v>
      </c>
      <c r="G910" s="1">
        <v>4.41721E11</v>
      </c>
    </row>
    <row r="911">
      <c r="A911" s="1" t="s">
        <v>723</v>
      </c>
      <c r="B911" s="1" t="str">
        <f>IFERROR(__xludf.DUMMYFUNCTION("GOOGLETRANSLATE(A837, ""zh-CN"", ""en"")"),"Guangdong Province")</f>
        <v>Guangdong Province</v>
      </c>
      <c r="C911" s="1" t="s">
        <v>738</v>
      </c>
      <c r="D911" s="1" t="str">
        <f>IFERROR(__xludf.DUMMYFUNCTION("GOOGLETRANSLATE(C911, ""zh-CN"", ""en"")"),"Yangjiang City")</f>
        <v>Yangjiang City</v>
      </c>
      <c r="E911" s="1" t="s">
        <v>844</v>
      </c>
      <c r="F911" s="1" t="str">
        <f>IFERROR(__xludf.DUMMYFUNCTION("GOOGLETRANSLATE(E911, ""zh-CN"", ""en"")"),"Yangchun City")</f>
        <v>Yangchun City</v>
      </c>
      <c r="G911" s="1">
        <v>4.41781E11</v>
      </c>
    </row>
    <row r="912">
      <c r="A912" s="1" t="s">
        <v>723</v>
      </c>
      <c r="B912" s="1" t="str">
        <f>IFERROR(__xludf.DUMMYFUNCTION("GOOGLETRANSLATE(A838, ""zh-CN"", ""en"")"),"Guangdong Province")</f>
        <v>Guangdong Province</v>
      </c>
      <c r="C912" s="1" t="s">
        <v>739</v>
      </c>
      <c r="D912" s="1" t="str">
        <f>IFERROR(__xludf.DUMMYFUNCTION("GOOGLETRANSLATE(C912, ""zh-CN"", ""en"")"),"Qingyuan City")</f>
        <v>Qingyuan City</v>
      </c>
      <c r="E912" s="1" t="s">
        <v>24</v>
      </c>
      <c r="F912" s="1" t="str">
        <f>IFERROR(__xludf.DUMMYFUNCTION("GOOGLETRANSLATE(E912, ""zh-CN"", ""en"")"),"City area")</f>
        <v>City area</v>
      </c>
      <c r="G912" s="1">
        <v>4.41801E11</v>
      </c>
    </row>
    <row r="913">
      <c r="A913" s="1" t="s">
        <v>723</v>
      </c>
      <c r="B913" s="1" t="str">
        <f>IFERROR(__xludf.DUMMYFUNCTION("GOOGLETRANSLATE(A839, ""zh-CN"", ""en"")"),"Guangdong Province")</f>
        <v>Guangdong Province</v>
      </c>
      <c r="C913" s="1" t="s">
        <v>739</v>
      </c>
      <c r="D913" s="1" t="str">
        <f>IFERROR(__xludf.DUMMYFUNCTION("GOOGLETRANSLATE(C913, ""zh-CN"", ""en"")"),"Qingyuan City")</f>
        <v>Qingyuan City</v>
      </c>
      <c r="E913" s="1" t="s">
        <v>845</v>
      </c>
      <c r="F913" s="1" t="str">
        <f>IFERROR(__xludf.DUMMYFUNCTION("GOOGLETRANSLATE(E913, ""zh-CN"", ""en"")"),"Qingcheng District")</f>
        <v>Qingcheng District</v>
      </c>
      <c r="G913" s="1">
        <v>4.41802E11</v>
      </c>
    </row>
    <row r="914">
      <c r="A914" s="1" t="s">
        <v>723</v>
      </c>
      <c r="B914" s="1" t="str">
        <f>IFERROR(__xludf.DUMMYFUNCTION("GOOGLETRANSLATE(A840, ""zh-CN"", ""en"")"),"Guangdong Province")</f>
        <v>Guangdong Province</v>
      </c>
      <c r="C914" s="1" t="s">
        <v>739</v>
      </c>
      <c r="D914" s="1" t="str">
        <f>IFERROR(__xludf.DUMMYFUNCTION("GOOGLETRANSLATE(C914, ""zh-CN"", ""en"")"),"Qingyuan City")</f>
        <v>Qingyuan City</v>
      </c>
      <c r="E914" s="1" t="s">
        <v>846</v>
      </c>
      <c r="F914" s="1" t="str">
        <f>IFERROR(__xludf.DUMMYFUNCTION("GOOGLETRANSLATE(E914, ""zh-CN"", ""en"")"),"Fresh area")</f>
        <v>Fresh area</v>
      </c>
      <c r="G914" s="1">
        <v>4.41803E11</v>
      </c>
    </row>
    <row r="915">
      <c r="A915" s="1" t="s">
        <v>723</v>
      </c>
      <c r="B915" s="1" t="str">
        <f>IFERROR(__xludf.DUMMYFUNCTION("GOOGLETRANSLATE(A841, ""zh-CN"", ""en"")"),"Guangdong Province")</f>
        <v>Guangdong Province</v>
      </c>
      <c r="C915" s="1" t="s">
        <v>739</v>
      </c>
      <c r="D915" s="1" t="str">
        <f>IFERROR(__xludf.DUMMYFUNCTION("GOOGLETRANSLATE(C915, ""zh-CN"", ""en"")"),"Qingyuan City")</f>
        <v>Qingyuan City</v>
      </c>
      <c r="E915" s="1" t="s">
        <v>847</v>
      </c>
      <c r="F915" s="1" t="str">
        <f>IFERROR(__xludf.DUMMYFUNCTION("GOOGLETRANSLATE(E915, ""zh-CN"", ""en"")"),"Fogang County")</f>
        <v>Fogang County</v>
      </c>
      <c r="G915" s="1">
        <v>4.41821E11</v>
      </c>
    </row>
    <row r="916">
      <c r="A916" s="1" t="s">
        <v>723</v>
      </c>
      <c r="B916" s="1" t="str">
        <f>IFERROR(__xludf.DUMMYFUNCTION("GOOGLETRANSLATE(A842, ""zh-CN"", ""en"")"),"Guangdong Province")</f>
        <v>Guangdong Province</v>
      </c>
      <c r="C916" s="1" t="s">
        <v>739</v>
      </c>
      <c r="D916" s="1" t="str">
        <f>IFERROR(__xludf.DUMMYFUNCTION("GOOGLETRANSLATE(C916, ""zh-CN"", ""en"")"),"Qingyuan City")</f>
        <v>Qingyuan City</v>
      </c>
      <c r="E916" s="1" t="s">
        <v>848</v>
      </c>
      <c r="F916" s="1" t="str">
        <f>IFERROR(__xludf.DUMMYFUNCTION("GOOGLETRANSLATE(E916, ""zh-CN"", ""en"")"),"Yangshan County")</f>
        <v>Yangshan County</v>
      </c>
      <c r="G916" s="1">
        <v>4.41823E11</v>
      </c>
    </row>
    <row r="917">
      <c r="A917" s="1" t="s">
        <v>723</v>
      </c>
      <c r="B917" s="1" t="str">
        <f>IFERROR(__xludf.DUMMYFUNCTION("GOOGLETRANSLATE(A843, ""zh-CN"", ""en"")"),"Guangdong Province")</f>
        <v>Guangdong Province</v>
      </c>
      <c r="C917" s="1" t="s">
        <v>739</v>
      </c>
      <c r="D917" s="1" t="str">
        <f>IFERROR(__xludf.DUMMYFUNCTION("GOOGLETRANSLATE(C917, ""zh-CN"", ""en"")"),"Qingyuan City")</f>
        <v>Qingyuan City</v>
      </c>
      <c r="E917" s="1" t="s">
        <v>849</v>
      </c>
      <c r="F917" s="1" t="str">
        <f>IFERROR(__xludf.DUMMYFUNCTION("GOOGLETRANSLATE(E917, ""zh-CN"", ""en"")"),"Lianshan Zhuang Yao Autonomous County")</f>
        <v>Lianshan Zhuang Yao Autonomous County</v>
      </c>
      <c r="G917" s="1">
        <v>4.41825E11</v>
      </c>
    </row>
    <row r="918">
      <c r="A918" s="1" t="s">
        <v>723</v>
      </c>
      <c r="B918" s="1" t="str">
        <f>IFERROR(__xludf.DUMMYFUNCTION("GOOGLETRANSLATE(A844, ""zh-CN"", ""en"")"),"Guangdong Province")</f>
        <v>Guangdong Province</v>
      </c>
      <c r="C918" s="1" t="s">
        <v>739</v>
      </c>
      <c r="D918" s="1" t="str">
        <f>IFERROR(__xludf.DUMMYFUNCTION("GOOGLETRANSLATE(C918, ""zh-CN"", ""en"")"),"Qingyuan City")</f>
        <v>Qingyuan City</v>
      </c>
      <c r="E918" s="1" t="s">
        <v>850</v>
      </c>
      <c r="F918" s="1" t="str">
        <f>IFERROR(__xludf.DUMMYFUNCTION("GOOGLETRANSLATE(E918, ""zh-CN"", ""en"")"),"Liannan Yao Autonomous County")</f>
        <v>Liannan Yao Autonomous County</v>
      </c>
      <c r="G918" s="1">
        <v>4.41826E11</v>
      </c>
    </row>
    <row r="919">
      <c r="A919" s="1" t="s">
        <v>723</v>
      </c>
      <c r="B919" s="1" t="str">
        <f>IFERROR(__xludf.DUMMYFUNCTION("GOOGLETRANSLATE(A845, ""zh-CN"", ""en"")"),"Guangdong Province")</f>
        <v>Guangdong Province</v>
      </c>
      <c r="C919" s="1" t="s">
        <v>739</v>
      </c>
      <c r="D919" s="1" t="str">
        <f>IFERROR(__xludf.DUMMYFUNCTION("GOOGLETRANSLATE(C919, ""zh-CN"", ""en"")"),"Qingyuan City")</f>
        <v>Qingyuan City</v>
      </c>
      <c r="E919" s="1" t="s">
        <v>851</v>
      </c>
      <c r="F919" s="1" t="str">
        <f>IFERROR(__xludf.DUMMYFUNCTION("GOOGLETRANSLATE(E919, ""zh-CN"", ""en"")"),"Yingde City")</f>
        <v>Yingde City</v>
      </c>
      <c r="G919" s="1">
        <v>4.41881E11</v>
      </c>
    </row>
    <row r="920">
      <c r="A920" s="1" t="s">
        <v>723</v>
      </c>
      <c r="B920" s="1" t="str">
        <f>IFERROR(__xludf.DUMMYFUNCTION("GOOGLETRANSLATE(A846, ""zh-CN"", ""en"")"),"Guangdong Province")</f>
        <v>Guangdong Province</v>
      </c>
      <c r="C920" s="1" t="s">
        <v>739</v>
      </c>
      <c r="D920" s="1" t="str">
        <f>IFERROR(__xludf.DUMMYFUNCTION("GOOGLETRANSLATE(C920, ""zh-CN"", ""en"")"),"Qingyuan City")</f>
        <v>Qingyuan City</v>
      </c>
      <c r="E920" s="1" t="s">
        <v>852</v>
      </c>
      <c r="F920" s="1" t="str">
        <f>IFERROR(__xludf.DUMMYFUNCTION("GOOGLETRANSLATE(E920, ""zh-CN"", ""en"")"),"Lianzhou")</f>
        <v>Lianzhou</v>
      </c>
      <c r="G920" s="1">
        <v>4.41882E11</v>
      </c>
    </row>
    <row r="921">
      <c r="A921" s="1" t="s">
        <v>723</v>
      </c>
      <c r="B921" s="1" t="str">
        <f>IFERROR(__xludf.DUMMYFUNCTION("GOOGLETRANSLATE(A847, ""zh-CN"", ""en"")"),"Guangdong Province")</f>
        <v>Guangdong Province</v>
      </c>
      <c r="C921" s="1" t="s">
        <v>742</v>
      </c>
      <c r="D921" s="1" t="str">
        <f>IFERROR(__xludf.DUMMYFUNCTION("GOOGLETRANSLATE(C921, ""zh-CN"", ""en"")"),"Chaozhou")</f>
        <v>Chaozhou</v>
      </c>
      <c r="E921" s="1" t="s">
        <v>24</v>
      </c>
      <c r="F921" s="1" t="str">
        <f>IFERROR(__xludf.DUMMYFUNCTION("GOOGLETRANSLATE(E921, ""zh-CN"", ""en"")"),"City area")</f>
        <v>City area</v>
      </c>
      <c r="G921" s="1">
        <v>4.45101E11</v>
      </c>
    </row>
    <row r="922">
      <c r="A922" s="1" t="s">
        <v>723</v>
      </c>
      <c r="B922" s="1" t="str">
        <f>IFERROR(__xludf.DUMMYFUNCTION("GOOGLETRANSLATE(A848, ""zh-CN"", ""en"")"),"Guangdong Province")</f>
        <v>Guangdong Province</v>
      </c>
      <c r="C922" s="1" t="s">
        <v>742</v>
      </c>
      <c r="D922" s="1" t="str">
        <f>IFERROR(__xludf.DUMMYFUNCTION("GOOGLETRANSLATE(C922, ""zh-CN"", ""en"")"),"Chaozhou")</f>
        <v>Chaozhou</v>
      </c>
      <c r="E922" s="1" t="s">
        <v>853</v>
      </c>
      <c r="F922" s="1" t="str">
        <f>IFERROR(__xludf.DUMMYFUNCTION("GOOGLETRANSLATE(E922, ""zh-CN"", ""en"")"),"Xiangqiao District")</f>
        <v>Xiangqiao District</v>
      </c>
      <c r="G922" s="1">
        <v>4.45102E11</v>
      </c>
    </row>
    <row r="923">
      <c r="A923" s="1" t="s">
        <v>723</v>
      </c>
      <c r="B923" s="1" t="str">
        <f>IFERROR(__xludf.DUMMYFUNCTION("GOOGLETRANSLATE(A849, ""zh-CN"", ""en"")"),"Guangdong Province")</f>
        <v>Guangdong Province</v>
      </c>
      <c r="C923" s="1" t="s">
        <v>742</v>
      </c>
      <c r="D923" s="1" t="str">
        <f>IFERROR(__xludf.DUMMYFUNCTION("GOOGLETRANSLATE(C923, ""zh-CN"", ""en"")"),"Chaozhou")</f>
        <v>Chaozhou</v>
      </c>
      <c r="E923" s="1" t="s">
        <v>854</v>
      </c>
      <c r="F923" s="1" t="str">
        <f>IFERROR(__xludf.DUMMYFUNCTION("GOOGLETRANSLATE(E923, ""zh-CN"", ""en"")"),"Chao'an District")</f>
        <v>Chao'an District</v>
      </c>
      <c r="G923" s="1">
        <v>4.45103E11</v>
      </c>
    </row>
    <row r="924">
      <c r="A924" s="1" t="s">
        <v>723</v>
      </c>
      <c r="B924" s="1" t="str">
        <f>IFERROR(__xludf.DUMMYFUNCTION("GOOGLETRANSLATE(A850, ""zh-CN"", ""en"")"),"Guangdong Province")</f>
        <v>Guangdong Province</v>
      </c>
      <c r="C924" s="1" t="s">
        <v>742</v>
      </c>
      <c r="D924" s="1" t="str">
        <f>IFERROR(__xludf.DUMMYFUNCTION("GOOGLETRANSLATE(C924, ""zh-CN"", ""en"")"),"Chaozhou")</f>
        <v>Chaozhou</v>
      </c>
      <c r="E924" s="1" t="s">
        <v>855</v>
      </c>
      <c r="F924" s="1" t="str">
        <f>IFERROR(__xludf.DUMMYFUNCTION("GOOGLETRANSLATE(E924, ""zh-CN"", ""en"")"),"Rao Ping County")</f>
        <v>Rao Ping County</v>
      </c>
      <c r="G924" s="1">
        <v>4.45122E11</v>
      </c>
    </row>
    <row r="925">
      <c r="A925" s="1" t="s">
        <v>723</v>
      </c>
      <c r="B925" s="1" t="str">
        <f>IFERROR(__xludf.DUMMYFUNCTION("GOOGLETRANSLATE(A851, ""zh-CN"", ""en"")"),"Guangdong Province")</f>
        <v>Guangdong Province</v>
      </c>
      <c r="C925" s="1" t="s">
        <v>743</v>
      </c>
      <c r="D925" s="1" t="str">
        <f>IFERROR(__xludf.DUMMYFUNCTION("GOOGLETRANSLATE(C925, ""zh-CN"", ""en"")"),"Jieyang City")</f>
        <v>Jieyang City</v>
      </c>
      <c r="E925" s="1" t="s">
        <v>24</v>
      </c>
      <c r="F925" s="1" t="str">
        <f>IFERROR(__xludf.DUMMYFUNCTION("GOOGLETRANSLATE(E925, ""zh-CN"", ""en"")"),"City area")</f>
        <v>City area</v>
      </c>
      <c r="G925" s="1">
        <v>4.45201E11</v>
      </c>
    </row>
    <row r="926">
      <c r="A926" s="1" t="s">
        <v>723</v>
      </c>
      <c r="B926" s="1" t="str">
        <f>IFERROR(__xludf.DUMMYFUNCTION("GOOGLETRANSLATE(A852, ""zh-CN"", ""en"")"),"Guangdong Province")</f>
        <v>Guangdong Province</v>
      </c>
      <c r="C926" s="1" t="s">
        <v>743</v>
      </c>
      <c r="D926" s="1" t="str">
        <f>IFERROR(__xludf.DUMMYFUNCTION("GOOGLETRANSLATE(C926, ""zh-CN"", ""en"")"),"Jieyang City")</f>
        <v>Jieyang City</v>
      </c>
      <c r="E926" s="1" t="s">
        <v>856</v>
      </c>
      <c r="F926" s="1" t="str">
        <f>IFERROR(__xludf.DUMMYFUNCTION("GOOGLETRANSLATE(E926, ""zh-CN"", ""en"")"),"Rongcheng District")</f>
        <v>Rongcheng District</v>
      </c>
      <c r="G926" s="1">
        <v>4.45202E11</v>
      </c>
    </row>
    <row r="927">
      <c r="A927" s="1" t="s">
        <v>723</v>
      </c>
      <c r="B927" s="1" t="str">
        <f>IFERROR(__xludf.DUMMYFUNCTION("GOOGLETRANSLATE(A853, ""zh-CN"", ""en"")"),"Guangdong Province")</f>
        <v>Guangdong Province</v>
      </c>
      <c r="C927" s="1" t="s">
        <v>743</v>
      </c>
      <c r="D927" s="1" t="str">
        <f>IFERROR(__xludf.DUMMYFUNCTION("GOOGLETRANSLATE(C927, ""zh-CN"", ""en"")"),"Jieyang City")</f>
        <v>Jieyang City</v>
      </c>
      <c r="E927" s="1" t="s">
        <v>857</v>
      </c>
      <c r="F927" s="1" t="str">
        <f>IFERROR(__xludf.DUMMYFUNCTION("GOOGLETRANSLATE(E927, ""zh-CN"", ""en"")"),"Jie East District")</f>
        <v>Jie East District</v>
      </c>
      <c r="G927" s="1">
        <v>4.45203E11</v>
      </c>
    </row>
    <row r="928">
      <c r="A928" s="1" t="s">
        <v>723</v>
      </c>
      <c r="B928" s="1" t="str">
        <f>IFERROR(__xludf.DUMMYFUNCTION("GOOGLETRANSLATE(A854, ""zh-CN"", ""en"")"),"Guangdong Province")</f>
        <v>Guangdong Province</v>
      </c>
      <c r="C928" s="1" t="s">
        <v>743</v>
      </c>
      <c r="D928" s="1" t="str">
        <f>IFERROR(__xludf.DUMMYFUNCTION("GOOGLETRANSLATE(C928, ""zh-CN"", ""en"")"),"Jieyang City")</f>
        <v>Jieyang City</v>
      </c>
      <c r="E928" s="1" t="s">
        <v>858</v>
      </c>
      <c r="F928" s="1" t="str">
        <f>IFERROR(__xludf.DUMMYFUNCTION("GOOGLETRANSLATE(E928, ""zh-CN"", ""en"")"),"Jiexi County")</f>
        <v>Jiexi County</v>
      </c>
      <c r="G928" s="1">
        <v>4.45222E11</v>
      </c>
    </row>
    <row r="929">
      <c r="A929" s="1" t="s">
        <v>723</v>
      </c>
      <c r="B929" s="1" t="str">
        <f>IFERROR(__xludf.DUMMYFUNCTION("GOOGLETRANSLATE(A855, ""zh-CN"", ""en"")"),"Guangdong Province")</f>
        <v>Guangdong Province</v>
      </c>
      <c r="C929" s="1" t="s">
        <v>743</v>
      </c>
      <c r="D929" s="1" t="str">
        <f>IFERROR(__xludf.DUMMYFUNCTION("GOOGLETRANSLATE(C929, ""zh-CN"", ""en"")"),"Jieyang City")</f>
        <v>Jieyang City</v>
      </c>
      <c r="E929" s="1" t="s">
        <v>859</v>
      </c>
      <c r="F929" s="1" t="str">
        <f>IFERROR(__xludf.DUMMYFUNCTION("GOOGLETRANSLATE(E929, ""zh-CN"", ""en"")"),"Huilai County")</f>
        <v>Huilai County</v>
      </c>
      <c r="G929" s="1">
        <v>4.45224E11</v>
      </c>
    </row>
    <row r="930">
      <c r="A930" s="1" t="s">
        <v>723</v>
      </c>
      <c r="B930" s="1" t="str">
        <f>IFERROR(__xludf.DUMMYFUNCTION("GOOGLETRANSLATE(A856, ""zh-CN"", ""en"")"),"Guangdong Province")</f>
        <v>Guangdong Province</v>
      </c>
      <c r="C930" s="1" t="s">
        <v>743</v>
      </c>
      <c r="D930" s="1" t="str">
        <f>IFERROR(__xludf.DUMMYFUNCTION("GOOGLETRANSLATE(C930, ""zh-CN"", ""en"")"),"Jieyang City")</f>
        <v>Jieyang City</v>
      </c>
      <c r="E930" s="1" t="s">
        <v>860</v>
      </c>
      <c r="F930" s="1" t="str">
        <f>IFERROR(__xludf.DUMMYFUNCTION("GOOGLETRANSLATE(E930, ""zh-CN"", ""en"")"),"Puning")</f>
        <v>Puning</v>
      </c>
      <c r="G930" s="1">
        <v>4.45281E11</v>
      </c>
    </row>
    <row r="931">
      <c r="A931" s="1" t="s">
        <v>723</v>
      </c>
      <c r="B931" s="1" t="str">
        <f>IFERROR(__xludf.DUMMYFUNCTION("GOOGLETRANSLATE(A857, ""zh-CN"", ""en"")"),"Guangdong Province")</f>
        <v>Guangdong Province</v>
      </c>
      <c r="C931" s="1" t="s">
        <v>744</v>
      </c>
      <c r="D931" s="1" t="str">
        <f>IFERROR(__xludf.DUMMYFUNCTION("GOOGLETRANSLATE(C931, ""zh-CN"", ""en"")"),"Yunfu City")</f>
        <v>Yunfu City</v>
      </c>
      <c r="E931" s="1" t="s">
        <v>24</v>
      </c>
      <c r="F931" s="1" t="str">
        <f>IFERROR(__xludf.DUMMYFUNCTION("GOOGLETRANSLATE(E931, ""zh-CN"", ""en"")"),"City area")</f>
        <v>City area</v>
      </c>
      <c r="G931" s="1">
        <v>4.45301E11</v>
      </c>
    </row>
    <row r="932">
      <c r="A932" s="1" t="s">
        <v>723</v>
      </c>
      <c r="B932" s="1" t="str">
        <f>IFERROR(__xludf.DUMMYFUNCTION("GOOGLETRANSLATE(A858, ""zh-CN"", ""en"")"),"Guangdong Province")</f>
        <v>Guangdong Province</v>
      </c>
      <c r="C932" s="1" t="s">
        <v>744</v>
      </c>
      <c r="D932" s="1" t="str">
        <f>IFERROR(__xludf.DUMMYFUNCTION("GOOGLETRANSLATE(C932, ""zh-CN"", ""en"")"),"Yunfu City")</f>
        <v>Yunfu City</v>
      </c>
      <c r="E932" s="1" t="s">
        <v>861</v>
      </c>
      <c r="F932" s="1" t="str">
        <f>IFERROR(__xludf.DUMMYFUNCTION("GOOGLETRANSLATE(E932, ""zh-CN"", ""en"")"),"Yuncheng District")</f>
        <v>Yuncheng District</v>
      </c>
      <c r="G932" s="1">
        <v>4.45302E11</v>
      </c>
    </row>
    <row r="933">
      <c r="A933" s="1" t="s">
        <v>723</v>
      </c>
      <c r="B933" s="1" t="str">
        <f>IFERROR(__xludf.DUMMYFUNCTION("GOOGLETRANSLATE(A859, ""zh-CN"", ""en"")"),"Guangdong Province")</f>
        <v>Guangdong Province</v>
      </c>
      <c r="C933" s="1" t="s">
        <v>744</v>
      </c>
      <c r="D933" s="1" t="str">
        <f>IFERROR(__xludf.DUMMYFUNCTION("GOOGLETRANSLATE(C933, ""zh-CN"", ""en"")"),"Yunfu City")</f>
        <v>Yunfu City</v>
      </c>
      <c r="E933" s="1" t="s">
        <v>862</v>
      </c>
      <c r="F933" s="1" t="str">
        <f>IFERROR(__xludf.DUMMYFUNCTION("GOOGLETRANSLATE(E933, ""zh-CN"", ""en"")"),"Yun'an District")</f>
        <v>Yun'an District</v>
      </c>
      <c r="G933" s="1">
        <v>4.45303E11</v>
      </c>
    </row>
    <row r="934">
      <c r="A934" s="1" t="s">
        <v>723</v>
      </c>
      <c r="B934" s="1" t="str">
        <f>IFERROR(__xludf.DUMMYFUNCTION("GOOGLETRANSLATE(A860, ""zh-CN"", ""en"")"),"Guangdong Province")</f>
        <v>Guangdong Province</v>
      </c>
      <c r="C934" s="1" t="s">
        <v>744</v>
      </c>
      <c r="D934" s="1" t="str">
        <f>IFERROR(__xludf.DUMMYFUNCTION("GOOGLETRANSLATE(C934, ""zh-CN"", ""en"")"),"Yunfu City")</f>
        <v>Yunfu City</v>
      </c>
      <c r="E934" s="1" t="s">
        <v>863</v>
      </c>
      <c r="F934" s="1" t="str">
        <f>IFERROR(__xludf.DUMMYFUNCTION("GOOGLETRANSLATE(E934, ""zh-CN"", ""en"")"),"Xinxing County")</f>
        <v>Xinxing County</v>
      </c>
      <c r="G934" s="1">
        <v>4.45321E11</v>
      </c>
    </row>
    <row r="935">
      <c r="A935" s="1" t="s">
        <v>723</v>
      </c>
      <c r="B935" s="1" t="str">
        <f>IFERROR(__xludf.DUMMYFUNCTION("GOOGLETRANSLATE(A861, ""zh-CN"", ""en"")"),"Guangdong Province")</f>
        <v>Guangdong Province</v>
      </c>
      <c r="C935" s="1" t="s">
        <v>744</v>
      </c>
      <c r="D935" s="1" t="str">
        <f>IFERROR(__xludf.DUMMYFUNCTION("GOOGLETRANSLATE(C935, ""zh-CN"", ""en"")"),"Yunfu City")</f>
        <v>Yunfu City</v>
      </c>
      <c r="E935" s="1" t="s">
        <v>864</v>
      </c>
      <c r="F935" s="1" t="str">
        <f>IFERROR(__xludf.DUMMYFUNCTION("GOOGLETRANSLATE(E935, ""zh-CN"", ""en"")"),"Yunan County")</f>
        <v>Yunan County</v>
      </c>
      <c r="G935" s="1">
        <v>4.45322E11</v>
      </c>
    </row>
    <row r="936">
      <c r="A936" s="1" t="s">
        <v>723</v>
      </c>
      <c r="B936" s="1" t="str">
        <f>IFERROR(__xludf.DUMMYFUNCTION("GOOGLETRANSLATE(A862, ""zh-CN"", ""en"")"),"Guangdong Province")</f>
        <v>Guangdong Province</v>
      </c>
      <c r="C936" s="1" t="s">
        <v>744</v>
      </c>
      <c r="D936" s="1" t="str">
        <f>IFERROR(__xludf.DUMMYFUNCTION("GOOGLETRANSLATE(C936, ""zh-CN"", ""en"")"),"Yunfu City")</f>
        <v>Yunfu City</v>
      </c>
      <c r="E936" s="1" t="s">
        <v>865</v>
      </c>
      <c r="F936" s="1" t="str">
        <f>IFERROR(__xludf.DUMMYFUNCTION("GOOGLETRANSLATE(E936, ""zh-CN"", ""en"")"),"Luoding City")</f>
        <v>Luoding City</v>
      </c>
      <c r="G936" s="1">
        <v>4.45381E11</v>
      </c>
    </row>
    <row r="937">
      <c r="A937" s="1" t="s">
        <v>866</v>
      </c>
      <c r="B937" s="1" t="str">
        <f>IFERROR(__xludf.DUMMYFUNCTION("GOOGLETRANSLATE(A863, ""zh-CN"", ""en"")"),"Guangdong Province")</f>
        <v>Guangdong Province</v>
      </c>
      <c r="C937" s="1" t="s">
        <v>8</v>
      </c>
      <c r="D937" s="1" t="str">
        <f>IFERROR(__xludf.DUMMYFUNCTION("GOOGLETRANSLATE(C937, ""zh-CN"", ""en"")"),"Na")</f>
        <v>Na</v>
      </c>
      <c r="E937" s="1" t="s">
        <v>8</v>
      </c>
      <c r="F937" s="1" t="str">
        <f>IFERROR(__xludf.DUMMYFUNCTION("GOOGLETRANSLATE(E937, ""zh-CN"", ""en"")"),"Na")</f>
        <v>Na</v>
      </c>
      <c r="G937" s="1">
        <v>64.0</v>
      </c>
    </row>
    <row r="938">
      <c r="A938" s="1" t="s">
        <v>866</v>
      </c>
      <c r="B938" s="1" t="str">
        <f>IFERROR(__xludf.DUMMYFUNCTION("GOOGLETRANSLATE(A864, ""zh-CN"", ""en"")"),"Guangdong Province")</f>
        <v>Guangdong Province</v>
      </c>
      <c r="C938" s="1" t="s">
        <v>867</v>
      </c>
      <c r="D938" s="1" t="str">
        <f>IFERROR(__xludf.DUMMYFUNCTION("GOOGLETRANSLATE(C938, ""zh-CN"", ""en"")"),"Yinchuan City")</f>
        <v>Yinchuan City</v>
      </c>
      <c r="E938" s="1" t="s">
        <v>8</v>
      </c>
      <c r="F938" s="1" t="str">
        <f>IFERROR(__xludf.DUMMYFUNCTION("GOOGLETRANSLATE(E938, ""zh-CN"", ""en"")"),"Na")</f>
        <v>Na</v>
      </c>
      <c r="G938" s="1">
        <v>6.401E11</v>
      </c>
    </row>
    <row r="939">
      <c r="A939" s="1" t="s">
        <v>866</v>
      </c>
      <c r="B939" s="1" t="str">
        <f>IFERROR(__xludf.DUMMYFUNCTION("GOOGLETRANSLATE(A865, ""zh-CN"", ""en"")"),"Guangdong Province")</f>
        <v>Guangdong Province</v>
      </c>
      <c r="C939" s="1" t="s">
        <v>868</v>
      </c>
      <c r="D939" s="1" t="str">
        <f>IFERROR(__xludf.DUMMYFUNCTION("GOOGLETRANSLATE(C939, ""zh-CN"", ""en"")"),"Shizuishan City")</f>
        <v>Shizuishan City</v>
      </c>
      <c r="E939" s="1" t="s">
        <v>8</v>
      </c>
      <c r="F939" s="1" t="str">
        <f>IFERROR(__xludf.DUMMYFUNCTION("GOOGLETRANSLATE(E939, ""zh-CN"", ""en"")"),"Na")</f>
        <v>Na</v>
      </c>
      <c r="G939" s="1">
        <v>6.402E11</v>
      </c>
    </row>
    <row r="940">
      <c r="A940" s="1" t="s">
        <v>866</v>
      </c>
      <c r="B940" s="1" t="str">
        <f>IFERROR(__xludf.DUMMYFUNCTION("GOOGLETRANSLATE(A866, ""zh-CN"", ""en"")"),"Guangdong Province")</f>
        <v>Guangdong Province</v>
      </c>
      <c r="C940" s="1" t="s">
        <v>869</v>
      </c>
      <c r="D940" s="1" t="str">
        <f>IFERROR(__xludf.DUMMYFUNCTION("GOOGLETRANSLATE(C940, ""zh-CN"", ""en"")"),"Wuzhong City")</f>
        <v>Wuzhong City</v>
      </c>
      <c r="E940" s="1" t="s">
        <v>8</v>
      </c>
      <c r="F940" s="1" t="str">
        <f>IFERROR(__xludf.DUMMYFUNCTION("GOOGLETRANSLATE(E940, ""zh-CN"", ""en"")"),"Na")</f>
        <v>Na</v>
      </c>
      <c r="G940" s="1">
        <v>6.403E11</v>
      </c>
    </row>
    <row r="941">
      <c r="A941" s="1" t="s">
        <v>866</v>
      </c>
      <c r="B941" s="1" t="str">
        <f>IFERROR(__xludf.DUMMYFUNCTION("GOOGLETRANSLATE(A867, ""zh-CN"", ""en"")"),"Guangdong Province")</f>
        <v>Guangdong Province</v>
      </c>
      <c r="C941" s="1" t="s">
        <v>870</v>
      </c>
      <c r="D941" s="1" t="str">
        <f>IFERROR(__xludf.DUMMYFUNCTION("GOOGLETRANSLATE(C941, ""zh-CN"", ""en"")"),"Guyuan City")</f>
        <v>Guyuan City</v>
      </c>
      <c r="E941" s="1" t="s">
        <v>8</v>
      </c>
      <c r="F941" s="1" t="str">
        <f>IFERROR(__xludf.DUMMYFUNCTION("GOOGLETRANSLATE(E941, ""zh-CN"", ""en"")"),"Na")</f>
        <v>Na</v>
      </c>
      <c r="G941" s="1">
        <v>6.404E11</v>
      </c>
    </row>
    <row r="942">
      <c r="A942" s="1" t="s">
        <v>866</v>
      </c>
      <c r="B942" s="1" t="str">
        <f>IFERROR(__xludf.DUMMYFUNCTION("GOOGLETRANSLATE(A868, ""zh-CN"", ""en"")"),"Guangdong Province")</f>
        <v>Guangdong Province</v>
      </c>
      <c r="C942" s="1" t="s">
        <v>871</v>
      </c>
      <c r="D942" s="1" t="str">
        <f>IFERROR(__xludf.DUMMYFUNCTION("GOOGLETRANSLATE(C942, ""zh-CN"", ""en"")"),"Zhongwei City")</f>
        <v>Zhongwei City</v>
      </c>
      <c r="E942" s="1" t="s">
        <v>8</v>
      </c>
      <c r="F942" s="1" t="str">
        <f>IFERROR(__xludf.DUMMYFUNCTION("GOOGLETRANSLATE(E942, ""zh-CN"", ""en"")"),"Na")</f>
        <v>Na</v>
      </c>
      <c r="G942" s="1">
        <v>6.405E11</v>
      </c>
    </row>
    <row r="943">
      <c r="A943" s="1" t="s">
        <v>866</v>
      </c>
      <c r="B943" s="1" t="str">
        <f>IFERROR(__xludf.DUMMYFUNCTION("GOOGLETRANSLATE(A869, ""zh-CN"", ""en"")"),"Guangdong Province")</f>
        <v>Guangdong Province</v>
      </c>
      <c r="C943" s="1" t="s">
        <v>867</v>
      </c>
      <c r="D943" s="1" t="str">
        <f>IFERROR(__xludf.DUMMYFUNCTION("GOOGLETRANSLATE(C943, ""zh-CN"", ""en"")"),"Yinchuan City")</f>
        <v>Yinchuan City</v>
      </c>
      <c r="E943" s="1" t="s">
        <v>24</v>
      </c>
      <c r="F943" s="1" t="str">
        <f>IFERROR(__xludf.DUMMYFUNCTION("GOOGLETRANSLATE(E943, ""zh-CN"", ""en"")"),"City area")</f>
        <v>City area</v>
      </c>
      <c r="G943" s="1">
        <v>6.40101E11</v>
      </c>
    </row>
    <row r="944">
      <c r="A944" s="1" t="s">
        <v>866</v>
      </c>
      <c r="B944" s="1" t="str">
        <f>IFERROR(__xludf.DUMMYFUNCTION("GOOGLETRANSLATE(A870, ""zh-CN"", ""en"")"),"Guangdong Province")</f>
        <v>Guangdong Province</v>
      </c>
      <c r="C944" s="1" t="s">
        <v>867</v>
      </c>
      <c r="D944" s="1" t="str">
        <f>IFERROR(__xludf.DUMMYFUNCTION("GOOGLETRANSLATE(C944, ""zh-CN"", ""en"")"),"Yinchuan City")</f>
        <v>Yinchuan City</v>
      </c>
      <c r="E944" s="1" t="s">
        <v>872</v>
      </c>
      <c r="F944" s="1" t="str">
        <f>IFERROR(__xludf.DUMMYFUNCTION("GOOGLETRANSLATE(E944, ""zh-CN"", ""en"")"),"Xingqing District")</f>
        <v>Xingqing District</v>
      </c>
      <c r="G944" s="1">
        <v>6.40104E11</v>
      </c>
    </row>
    <row r="945">
      <c r="A945" s="1" t="s">
        <v>866</v>
      </c>
      <c r="B945" s="1" t="str">
        <f>IFERROR(__xludf.DUMMYFUNCTION("GOOGLETRANSLATE(A871, ""zh-CN"", ""en"")"),"Guangdong Province")</f>
        <v>Guangdong Province</v>
      </c>
      <c r="C945" s="1" t="s">
        <v>867</v>
      </c>
      <c r="D945" s="1" t="str">
        <f>IFERROR(__xludf.DUMMYFUNCTION("GOOGLETRANSLATE(C945, ""zh-CN"", ""en"")"),"Yinchuan City")</f>
        <v>Yinchuan City</v>
      </c>
      <c r="E945" s="1" t="s">
        <v>873</v>
      </c>
      <c r="F945" s="1" t="str">
        <f>IFERROR(__xludf.DUMMYFUNCTION("GOOGLETRANSLATE(E945, ""zh-CN"", ""en"")"),"Xixia District")</f>
        <v>Xixia District</v>
      </c>
      <c r="G945" s="1">
        <v>6.40105E11</v>
      </c>
    </row>
    <row r="946">
      <c r="A946" s="1" t="s">
        <v>866</v>
      </c>
      <c r="B946" s="1" t="str">
        <f>IFERROR(__xludf.DUMMYFUNCTION("GOOGLETRANSLATE(A872, ""zh-CN"", ""en"")"),"Guangdong Province")</f>
        <v>Guangdong Province</v>
      </c>
      <c r="C946" s="1" t="s">
        <v>867</v>
      </c>
      <c r="D946" s="1" t="str">
        <f>IFERROR(__xludf.DUMMYFUNCTION("GOOGLETRANSLATE(C946, ""zh-CN"", ""en"")"),"Yinchuan City")</f>
        <v>Yinchuan City</v>
      </c>
      <c r="E946" s="1" t="s">
        <v>874</v>
      </c>
      <c r="F946" s="1" t="str">
        <f>IFERROR(__xludf.DUMMYFUNCTION("GOOGLETRANSLATE(E946, ""zh-CN"", ""en"")"),"Jinfeng District")</f>
        <v>Jinfeng District</v>
      </c>
      <c r="G946" s="1">
        <v>6.40106E11</v>
      </c>
    </row>
    <row r="947">
      <c r="A947" s="1" t="s">
        <v>866</v>
      </c>
      <c r="B947" s="1" t="str">
        <f>IFERROR(__xludf.DUMMYFUNCTION("GOOGLETRANSLATE(A873, ""zh-CN"", ""en"")"),"Guangdong Province")</f>
        <v>Guangdong Province</v>
      </c>
      <c r="C947" s="1" t="s">
        <v>867</v>
      </c>
      <c r="D947" s="1" t="str">
        <f>IFERROR(__xludf.DUMMYFUNCTION("GOOGLETRANSLATE(C947, ""zh-CN"", ""en"")"),"Yinchuan City")</f>
        <v>Yinchuan City</v>
      </c>
      <c r="E947" s="1" t="s">
        <v>875</v>
      </c>
      <c r="F947" s="1" t="str">
        <f>IFERROR(__xludf.DUMMYFUNCTION("GOOGLETRANSLATE(E947, ""zh-CN"", ""en"")"),"Yongning County")</f>
        <v>Yongning County</v>
      </c>
      <c r="G947" s="1">
        <v>6.40121E11</v>
      </c>
    </row>
    <row r="948">
      <c r="A948" s="1" t="s">
        <v>866</v>
      </c>
      <c r="B948" s="1" t="str">
        <f>IFERROR(__xludf.DUMMYFUNCTION("GOOGLETRANSLATE(A874, ""zh-CN"", ""en"")"),"Guangdong Province")</f>
        <v>Guangdong Province</v>
      </c>
      <c r="C948" s="1" t="s">
        <v>867</v>
      </c>
      <c r="D948" s="1" t="str">
        <f>IFERROR(__xludf.DUMMYFUNCTION("GOOGLETRANSLATE(C948, ""zh-CN"", ""en"")"),"Yinchuan City")</f>
        <v>Yinchuan City</v>
      </c>
      <c r="E948" s="1" t="s">
        <v>876</v>
      </c>
      <c r="F948" s="1" t="str">
        <f>IFERROR(__xludf.DUMMYFUNCTION("GOOGLETRANSLATE(E948, ""zh-CN"", ""en"")"),"Helan County")</f>
        <v>Helan County</v>
      </c>
      <c r="G948" s="1">
        <v>6.40122E11</v>
      </c>
    </row>
    <row r="949">
      <c r="A949" s="1" t="s">
        <v>866</v>
      </c>
      <c r="B949" s="1" t="str">
        <f>IFERROR(__xludf.DUMMYFUNCTION("GOOGLETRANSLATE(A875, ""zh-CN"", ""en"")"),"Guangdong Province")</f>
        <v>Guangdong Province</v>
      </c>
      <c r="C949" s="1" t="s">
        <v>867</v>
      </c>
      <c r="D949" s="1" t="str">
        <f>IFERROR(__xludf.DUMMYFUNCTION("GOOGLETRANSLATE(C949, ""zh-CN"", ""en"")"),"Yinchuan City")</f>
        <v>Yinchuan City</v>
      </c>
      <c r="E949" s="1" t="s">
        <v>877</v>
      </c>
      <c r="F949" s="1" t="str">
        <f>IFERROR(__xludf.DUMMYFUNCTION("GOOGLETRANSLATE(E949, ""zh-CN"", ""en"")"),"Lingwu City")</f>
        <v>Lingwu City</v>
      </c>
      <c r="G949" s="1">
        <v>6.40181E11</v>
      </c>
    </row>
    <row r="950">
      <c r="A950" s="1" t="s">
        <v>866</v>
      </c>
      <c r="B950" s="1" t="str">
        <f>IFERROR(__xludf.DUMMYFUNCTION("GOOGLETRANSLATE(A876, ""zh-CN"", ""en"")"),"Guangdong Province")</f>
        <v>Guangdong Province</v>
      </c>
      <c r="C950" s="1" t="s">
        <v>868</v>
      </c>
      <c r="D950" s="1" t="str">
        <f>IFERROR(__xludf.DUMMYFUNCTION("GOOGLETRANSLATE(C950, ""zh-CN"", ""en"")"),"Shizuishan City")</f>
        <v>Shizuishan City</v>
      </c>
      <c r="E950" s="1" t="s">
        <v>24</v>
      </c>
      <c r="F950" s="1" t="str">
        <f>IFERROR(__xludf.DUMMYFUNCTION("GOOGLETRANSLATE(E950, ""zh-CN"", ""en"")"),"City area")</f>
        <v>City area</v>
      </c>
      <c r="G950" s="1">
        <v>6.40201E11</v>
      </c>
    </row>
    <row r="951">
      <c r="A951" s="1" t="s">
        <v>866</v>
      </c>
      <c r="B951" s="1" t="str">
        <f>IFERROR(__xludf.DUMMYFUNCTION("GOOGLETRANSLATE(A877, ""zh-CN"", ""en"")"),"Guangdong Province")</f>
        <v>Guangdong Province</v>
      </c>
      <c r="C951" s="1" t="s">
        <v>868</v>
      </c>
      <c r="D951" s="1" t="str">
        <f>IFERROR(__xludf.DUMMYFUNCTION("GOOGLETRANSLATE(C951, ""zh-CN"", ""en"")"),"Shizuishan City")</f>
        <v>Shizuishan City</v>
      </c>
      <c r="E951" s="1" t="s">
        <v>878</v>
      </c>
      <c r="F951" s="1" t="str">
        <f>IFERROR(__xludf.DUMMYFUNCTION("GOOGLETRANSLATE(E951, ""zh-CN"", ""en"")"),"Dawukou District")</f>
        <v>Dawukou District</v>
      </c>
      <c r="G951" s="1">
        <v>6.40202E11</v>
      </c>
    </row>
    <row r="952">
      <c r="A952" s="1" t="s">
        <v>866</v>
      </c>
      <c r="B952" s="1" t="str">
        <f>IFERROR(__xludf.DUMMYFUNCTION("GOOGLETRANSLATE(A878, ""zh-CN"", ""en"")"),"Guangdong Province")</f>
        <v>Guangdong Province</v>
      </c>
      <c r="C952" s="1" t="s">
        <v>868</v>
      </c>
      <c r="D952" s="1" t="str">
        <f>IFERROR(__xludf.DUMMYFUNCTION("GOOGLETRANSLATE(C952, ""zh-CN"", ""en"")"),"Shizuishan City")</f>
        <v>Shizuishan City</v>
      </c>
      <c r="E952" s="1" t="s">
        <v>879</v>
      </c>
      <c r="F952" s="1" t="str">
        <f>IFERROR(__xludf.DUMMYFUNCTION("GOOGLETRANSLATE(E952, ""zh-CN"", ""en"")"),"Huinong District")</f>
        <v>Huinong District</v>
      </c>
      <c r="G952" s="1">
        <v>6.40205E11</v>
      </c>
    </row>
    <row r="953">
      <c r="A953" s="1" t="s">
        <v>866</v>
      </c>
      <c r="B953" s="1" t="str">
        <f>IFERROR(__xludf.DUMMYFUNCTION("GOOGLETRANSLATE(A879, ""zh-CN"", ""en"")"),"Guangdong Province")</f>
        <v>Guangdong Province</v>
      </c>
      <c r="C953" s="1" t="s">
        <v>868</v>
      </c>
      <c r="D953" s="1" t="str">
        <f>IFERROR(__xludf.DUMMYFUNCTION("GOOGLETRANSLATE(C953, ""zh-CN"", ""en"")"),"Shizuishan City")</f>
        <v>Shizuishan City</v>
      </c>
      <c r="E953" s="1" t="s">
        <v>880</v>
      </c>
      <c r="F953" s="1" t="str">
        <f>IFERROR(__xludf.DUMMYFUNCTION("GOOGLETRANSLATE(E953, ""zh-CN"", ""en"")"),"Pingluo County")</f>
        <v>Pingluo County</v>
      </c>
      <c r="G953" s="1">
        <v>6.40221E11</v>
      </c>
    </row>
    <row r="954">
      <c r="A954" s="1" t="s">
        <v>866</v>
      </c>
      <c r="B954" s="1" t="str">
        <f>IFERROR(__xludf.DUMMYFUNCTION("GOOGLETRANSLATE(A880, ""zh-CN"", ""en"")"),"Guangdong Province")</f>
        <v>Guangdong Province</v>
      </c>
      <c r="C954" s="1" t="s">
        <v>869</v>
      </c>
      <c r="D954" s="1" t="str">
        <f>IFERROR(__xludf.DUMMYFUNCTION("GOOGLETRANSLATE(C954, ""zh-CN"", ""en"")"),"Wuzhong City")</f>
        <v>Wuzhong City</v>
      </c>
      <c r="E954" s="1" t="s">
        <v>24</v>
      </c>
      <c r="F954" s="1" t="str">
        <f>IFERROR(__xludf.DUMMYFUNCTION("GOOGLETRANSLATE(E954, ""zh-CN"", ""en"")"),"City area")</f>
        <v>City area</v>
      </c>
      <c r="G954" s="1">
        <v>6.40301E11</v>
      </c>
    </row>
    <row r="955">
      <c r="A955" s="1" t="s">
        <v>866</v>
      </c>
      <c r="B955" s="1" t="str">
        <f>IFERROR(__xludf.DUMMYFUNCTION("GOOGLETRANSLATE(A881, ""zh-CN"", ""en"")"),"Guangdong Province")</f>
        <v>Guangdong Province</v>
      </c>
      <c r="C955" s="1" t="s">
        <v>869</v>
      </c>
      <c r="D955" s="1" t="str">
        <f>IFERROR(__xludf.DUMMYFUNCTION("GOOGLETRANSLATE(C955, ""zh-CN"", ""en"")"),"Wuzhong City")</f>
        <v>Wuzhong City</v>
      </c>
      <c r="E955" s="1" t="s">
        <v>881</v>
      </c>
      <c r="F955" s="1" t="str">
        <f>IFERROR(__xludf.DUMMYFUNCTION("GOOGLETRANSLATE(E955, ""zh-CN"", ""en"")"),"Litong District")</f>
        <v>Litong District</v>
      </c>
      <c r="G955" s="1">
        <v>6.40302E11</v>
      </c>
    </row>
    <row r="956">
      <c r="A956" s="1" t="s">
        <v>866</v>
      </c>
      <c r="B956" s="1" t="str">
        <f>IFERROR(__xludf.DUMMYFUNCTION("GOOGLETRANSLATE(A882, ""zh-CN"", ""en"")"),"Guangdong Province")</f>
        <v>Guangdong Province</v>
      </c>
      <c r="C956" s="1" t="s">
        <v>869</v>
      </c>
      <c r="D956" s="1" t="str">
        <f>IFERROR(__xludf.DUMMYFUNCTION("GOOGLETRANSLATE(C956, ""zh-CN"", ""en"")"),"Wuzhong City")</f>
        <v>Wuzhong City</v>
      </c>
      <c r="E956" s="1" t="s">
        <v>882</v>
      </c>
      <c r="F956" s="1" t="str">
        <f>IFERROR(__xludf.DUMMYFUNCTION("GOOGLETRANSLATE(E956, ""zh-CN"", ""en"")"),"Hongmaobao District")</f>
        <v>Hongmaobao District</v>
      </c>
      <c r="G956" s="1">
        <v>6.40303E11</v>
      </c>
    </row>
    <row r="957">
      <c r="A957" s="1" t="s">
        <v>866</v>
      </c>
      <c r="B957" s="1" t="str">
        <f>IFERROR(__xludf.DUMMYFUNCTION("GOOGLETRANSLATE(A883, ""zh-CN"", ""en"")"),"Guangdong Province")</f>
        <v>Guangdong Province</v>
      </c>
      <c r="C957" s="1" t="s">
        <v>869</v>
      </c>
      <c r="D957" s="1" t="str">
        <f>IFERROR(__xludf.DUMMYFUNCTION("GOOGLETRANSLATE(C957, ""zh-CN"", ""en"")"),"Wuzhong City")</f>
        <v>Wuzhong City</v>
      </c>
      <c r="E957" s="1" t="s">
        <v>883</v>
      </c>
      <c r="F957" s="1" t="str">
        <f>IFERROR(__xludf.DUMMYFUNCTION("GOOGLETRANSLATE(E957, ""zh-CN"", ""en"")"),"Yanchi County")</f>
        <v>Yanchi County</v>
      </c>
      <c r="G957" s="1">
        <v>6.40323E11</v>
      </c>
    </row>
    <row r="958">
      <c r="A958" s="1" t="s">
        <v>866</v>
      </c>
      <c r="B958" s="1" t="str">
        <f>IFERROR(__xludf.DUMMYFUNCTION("GOOGLETRANSLATE(A884, ""zh-CN"", ""en"")"),"Guangdong Province")</f>
        <v>Guangdong Province</v>
      </c>
      <c r="C958" s="1" t="s">
        <v>869</v>
      </c>
      <c r="D958" s="1" t="str">
        <f>IFERROR(__xludf.DUMMYFUNCTION("GOOGLETRANSLATE(C958, ""zh-CN"", ""en"")"),"Wuzhong City")</f>
        <v>Wuzhong City</v>
      </c>
      <c r="E958" s="1" t="s">
        <v>884</v>
      </c>
      <c r="F958" s="1" t="str">
        <f>IFERROR(__xludf.DUMMYFUNCTION("GOOGLETRANSLATE(E958, ""zh-CN"", ""en"")"),"Tongxin County")</f>
        <v>Tongxin County</v>
      </c>
      <c r="G958" s="1">
        <v>6.40324E11</v>
      </c>
    </row>
    <row r="959">
      <c r="A959" s="1" t="s">
        <v>866</v>
      </c>
      <c r="B959" s="1" t="str">
        <f>IFERROR(__xludf.DUMMYFUNCTION("GOOGLETRANSLATE(A885, ""zh-CN"", ""en"")"),"Guangdong Province")</f>
        <v>Guangdong Province</v>
      </c>
      <c r="C959" s="1" t="s">
        <v>869</v>
      </c>
      <c r="D959" s="1" t="str">
        <f>IFERROR(__xludf.DUMMYFUNCTION("GOOGLETRANSLATE(C959, ""zh-CN"", ""en"")"),"Wuzhong City")</f>
        <v>Wuzhong City</v>
      </c>
      <c r="E959" s="1" t="s">
        <v>885</v>
      </c>
      <c r="F959" s="1" t="str">
        <f>IFERROR(__xludf.DUMMYFUNCTION("GOOGLETRANSLATE(E959, ""zh-CN"", ""en"")"),"Bronze Gorge City")</f>
        <v>Bronze Gorge City</v>
      </c>
      <c r="G959" s="1">
        <v>6.40381E11</v>
      </c>
    </row>
    <row r="960">
      <c r="A960" s="1" t="s">
        <v>866</v>
      </c>
      <c r="B960" s="1" t="str">
        <f>IFERROR(__xludf.DUMMYFUNCTION("GOOGLETRANSLATE(A886, ""zh-CN"", ""en"")"),"Guangdong Province")</f>
        <v>Guangdong Province</v>
      </c>
      <c r="C960" s="1" t="s">
        <v>870</v>
      </c>
      <c r="D960" s="1" t="str">
        <f>IFERROR(__xludf.DUMMYFUNCTION("GOOGLETRANSLATE(C960, ""zh-CN"", ""en"")"),"Guyuan City")</f>
        <v>Guyuan City</v>
      </c>
      <c r="E960" s="1" t="s">
        <v>24</v>
      </c>
      <c r="F960" s="1" t="str">
        <f>IFERROR(__xludf.DUMMYFUNCTION("GOOGLETRANSLATE(E960, ""zh-CN"", ""en"")"),"City area")</f>
        <v>City area</v>
      </c>
      <c r="G960" s="1">
        <v>6.40401E11</v>
      </c>
    </row>
    <row r="961">
      <c r="A961" s="1" t="s">
        <v>866</v>
      </c>
      <c r="B961" s="1" t="str">
        <f>IFERROR(__xludf.DUMMYFUNCTION("GOOGLETRANSLATE(A887, ""zh-CN"", ""en"")"),"Guangdong Province")</f>
        <v>Guangdong Province</v>
      </c>
      <c r="C961" s="1" t="s">
        <v>870</v>
      </c>
      <c r="D961" s="1" t="str">
        <f>IFERROR(__xludf.DUMMYFUNCTION("GOOGLETRANSLATE(C961, ""zh-CN"", ""en"")"),"Guyuan City")</f>
        <v>Guyuan City</v>
      </c>
      <c r="E961" s="1" t="s">
        <v>886</v>
      </c>
      <c r="F961" s="1" t="str">
        <f>IFERROR(__xludf.DUMMYFUNCTION("GOOGLETRANSLATE(E961, ""zh-CN"", ""en"")"),"Original state district")</f>
        <v>Original state district</v>
      </c>
      <c r="G961" s="1">
        <v>6.40402E11</v>
      </c>
    </row>
    <row r="962">
      <c r="A962" s="1" t="s">
        <v>866</v>
      </c>
      <c r="B962" s="1" t="str">
        <f>IFERROR(__xludf.DUMMYFUNCTION("GOOGLETRANSLATE(A888, ""zh-CN"", ""en"")"),"Guangdong Province")</f>
        <v>Guangdong Province</v>
      </c>
      <c r="C962" s="1" t="s">
        <v>870</v>
      </c>
      <c r="D962" s="1" t="str">
        <f>IFERROR(__xludf.DUMMYFUNCTION("GOOGLETRANSLATE(C962, ""zh-CN"", ""en"")"),"Guyuan City")</f>
        <v>Guyuan City</v>
      </c>
      <c r="E962" s="1" t="s">
        <v>887</v>
      </c>
      <c r="F962" s="1" t="str">
        <f>IFERROR(__xludf.DUMMYFUNCTION("GOOGLETRANSLATE(E962, ""zh-CN"", ""en"")"),"Xiji County")</f>
        <v>Xiji County</v>
      </c>
      <c r="G962" s="1">
        <v>6.40422E11</v>
      </c>
    </row>
    <row r="963">
      <c r="A963" s="1" t="s">
        <v>866</v>
      </c>
      <c r="B963" s="1" t="str">
        <f>IFERROR(__xludf.DUMMYFUNCTION("GOOGLETRANSLATE(A889, ""zh-CN"", ""en"")"),"Guangdong Province")</f>
        <v>Guangdong Province</v>
      </c>
      <c r="C963" s="1" t="s">
        <v>870</v>
      </c>
      <c r="D963" s="1" t="str">
        <f>IFERROR(__xludf.DUMMYFUNCTION("GOOGLETRANSLATE(C963, ""zh-CN"", ""en"")"),"Guyuan City")</f>
        <v>Guyuan City</v>
      </c>
      <c r="E963" s="1" t="s">
        <v>888</v>
      </c>
      <c r="F963" s="1" t="str">
        <f>IFERROR(__xludf.DUMMYFUNCTION("GOOGLETRANSLATE(E963, ""zh-CN"", ""en"")"),"Longde County")</f>
        <v>Longde County</v>
      </c>
      <c r="G963" s="1">
        <v>6.40423E11</v>
      </c>
    </row>
    <row r="964">
      <c r="A964" s="1" t="s">
        <v>866</v>
      </c>
      <c r="B964" s="1" t="str">
        <f>IFERROR(__xludf.DUMMYFUNCTION("GOOGLETRANSLATE(A890, ""zh-CN"", ""en"")"),"Guangdong Province")</f>
        <v>Guangdong Province</v>
      </c>
      <c r="C964" s="1" t="s">
        <v>870</v>
      </c>
      <c r="D964" s="1" t="str">
        <f>IFERROR(__xludf.DUMMYFUNCTION("GOOGLETRANSLATE(C964, ""zh-CN"", ""en"")"),"Guyuan City")</f>
        <v>Guyuan City</v>
      </c>
      <c r="E964" s="1" t="s">
        <v>889</v>
      </c>
      <c r="F964" s="1" t="str">
        <f>IFERROR(__xludf.DUMMYFUNCTION("GOOGLETRANSLATE(E964, ""zh-CN"", ""en"")"),"Puyuan County")</f>
        <v>Puyuan County</v>
      </c>
      <c r="G964" s="1">
        <v>6.40424E11</v>
      </c>
    </row>
    <row r="965">
      <c r="A965" s="1" t="s">
        <v>866</v>
      </c>
      <c r="B965" s="1" t="str">
        <f>IFERROR(__xludf.DUMMYFUNCTION("GOOGLETRANSLATE(A891, ""zh-CN"", ""en"")"),"Guangdong Province")</f>
        <v>Guangdong Province</v>
      </c>
      <c r="C965" s="1" t="s">
        <v>870</v>
      </c>
      <c r="D965" s="1" t="str">
        <f>IFERROR(__xludf.DUMMYFUNCTION("GOOGLETRANSLATE(C965, ""zh-CN"", ""en"")"),"Guyuan City")</f>
        <v>Guyuan City</v>
      </c>
      <c r="E965" s="1" t="s">
        <v>890</v>
      </c>
      <c r="F965" s="1" t="str">
        <f>IFERROR(__xludf.DUMMYFUNCTION("GOOGLETRANSLATE(E965, ""zh-CN"", ""en"")"),"Pengyang County")</f>
        <v>Pengyang County</v>
      </c>
      <c r="G965" s="1">
        <v>6.40425E11</v>
      </c>
    </row>
    <row r="966">
      <c r="A966" s="1" t="s">
        <v>866</v>
      </c>
      <c r="B966" s="1" t="str">
        <f>IFERROR(__xludf.DUMMYFUNCTION("GOOGLETRANSLATE(A892, ""zh-CN"", ""en"")"),"Guangdong Province")</f>
        <v>Guangdong Province</v>
      </c>
      <c r="C966" s="1" t="s">
        <v>871</v>
      </c>
      <c r="D966" s="1" t="str">
        <f>IFERROR(__xludf.DUMMYFUNCTION("GOOGLETRANSLATE(C966, ""zh-CN"", ""en"")"),"Zhongwei City")</f>
        <v>Zhongwei City</v>
      </c>
      <c r="E966" s="1" t="s">
        <v>24</v>
      </c>
      <c r="F966" s="1" t="str">
        <f>IFERROR(__xludf.DUMMYFUNCTION("GOOGLETRANSLATE(E966, ""zh-CN"", ""en"")"),"City area")</f>
        <v>City area</v>
      </c>
      <c r="G966" s="1">
        <v>6.40501E11</v>
      </c>
    </row>
    <row r="967">
      <c r="A967" s="1" t="s">
        <v>866</v>
      </c>
      <c r="B967" s="1" t="str">
        <f>IFERROR(__xludf.DUMMYFUNCTION("GOOGLETRANSLATE(A893, ""zh-CN"", ""en"")"),"Guangdong Province")</f>
        <v>Guangdong Province</v>
      </c>
      <c r="C967" s="1" t="s">
        <v>871</v>
      </c>
      <c r="D967" s="1" t="str">
        <f>IFERROR(__xludf.DUMMYFUNCTION("GOOGLETRANSLATE(C967, ""zh-CN"", ""en"")"),"Zhongwei City")</f>
        <v>Zhongwei City</v>
      </c>
      <c r="E967" s="1" t="s">
        <v>891</v>
      </c>
      <c r="F967" s="1" t="str">
        <f>IFERROR(__xludf.DUMMYFUNCTION("GOOGLETRANSLATE(E967, ""zh-CN"", ""en"")"),"Shapotou District")</f>
        <v>Shapotou District</v>
      </c>
      <c r="G967" s="1">
        <v>6.40502E11</v>
      </c>
    </row>
    <row r="968">
      <c r="A968" s="1" t="s">
        <v>866</v>
      </c>
      <c r="B968" s="1" t="str">
        <f>IFERROR(__xludf.DUMMYFUNCTION("GOOGLETRANSLATE(A894, ""zh-CN"", ""en"")"),"Guangdong Province")</f>
        <v>Guangdong Province</v>
      </c>
      <c r="C968" s="1" t="s">
        <v>871</v>
      </c>
      <c r="D968" s="1" t="str">
        <f>IFERROR(__xludf.DUMMYFUNCTION("GOOGLETRANSLATE(C968, ""zh-CN"", ""en"")"),"Zhongwei City")</f>
        <v>Zhongwei City</v>
      </c>
      <c r="E968" s="1" t="s">
        <v>892</v>
      </c>
      <c r="F968" s="1" t="str">
        <f>IFERROR(__xludf.DUMMYFUNCTION("GOOGLETRANSLATE(E968, ""zh-CN"", ""en"")"),"Zhongning County")</f>
        <v>Zhongning County</v>
      </c>
      <c r="G968" s="1">
        <v>6.40521E11</v>
      </c>
    </row>
    <row r="969">
      <c r="A969" s="1" t="s">
        <v>866</v>
      </c>
      <c r="B969" s="1" t="str">
        <f>IFERROR(__xludf.DUMMYFUNCTION("GOOGLETRANSLATE(A895, ""zh-CN"", ""en"")"),"Guangdong Province")</f>
        <v>Guangdong Province</v>
      </c>
      <c r="C969" s="1" t="s">
        <v>871</v>
      </c>
      <c r="D969" s="1" t="str">
        <f>IFERROR(__xludf.DUMMYFUNCTION("GOOGLETRANSLATE(C969, ""zh-CN"", ""en"")"),"Zhongwei City")</f>
        <v>Zhongwei City</v>
      </c>
      <c r="E969" s="1" t="s">
        <v>893</v>
      </c>
      <c r="F969" s="1" t="str">
        <f>IFERROR(__xludf.DUMMYFUNCTION("GOOGLETRANSLATE(E969, ""zh-CN"", ""en"")"),"Haiyuan County")</f>
        <v>Haiyuan County</v>
      </c>
      <c r="G969" s="1">
        <v>6.40522E11</v>
      </c>
    </row>
    <row r="970">
      <c r="A970" s="1" t="s">
        <v>894</v>
      </c>
      <c r="B970" s="1" t="str">
        <f>IFERROR(__xludf.DUMMYFUNCTION("GOOGLETRANSLATE(A896, ""zh-CN"", ""en"")"),"Guangdong Province")</f>
        <v>Guangdong Province</v>
      </c>
      <c r="C970" s="1" t="s">
        <v>8</v>
      </c>
      <c r="D970" s="1" t="str">
        <f>IFERROR(__xludf.DUMMYFUNCTION("GOOGLETRANSLATE(C970, ""zh-CN"", ""en"")"),"Na")</f>
        <v>Na</v>
      </c>
      <c r="E970" s="1" t="s">
        <v>8</v>
      </c>
      <c r="F970" s="1" t="str">
        <f>IFERROR(__xludf.DUMMYFUNCTION("GOOGLETRANSLATE(E970, ""zh-CN"", ""en"")"),"Na")</f>
        <v>Na</v>
      </c>
      <c r="G970" s="1">
        <v>36.0</v>
      </c>
    </row>
    <row r="971">
      <c r="A971" s="1" t="s">
        <v>894</v>
      </c>
      <c r="B971" s="1" t="str">
        <f>IFERROR(__xludf.DUMMYFUNCTION("GOOGLETRANSLATE(A897, ""zh-CN"", ""en"")"),"Guangdong Province")</f>
        <v>Guangdong Province</v>
      </c>
      <c r="C971" s="1" t="s">
        <v>895</v>
      </c>
      <c r="D971" s="1" t="str">
        <f>IFERROR(__xludf.DUMMYFUNCTION("GOOGLETRANSLATE(C971, ""zh-CN"", ""en"")"),"Nanchang")</f>
        <v>Nanchang</v>
      </c>
      <c r="E971" s="1" t="s">
        <v>8</v>
      </c>
      <c r="F971" s="1" t="str">
        <f>IFERROR(__xludf.DUMMYFUNCTION("GOOGLETRANSLATE(E971, ""zh-CN"", ""en"")"),"Na")</f>
        <v>Na</v>
      </c>
      <c r="G971" s="1">
        <v>3.601E11</v>
      </c>
    </row>
    <row r="972">
      <c r="A972" s="1" t="s">
        <v>894</v>
      </c>
      <c r="B972" s="1" t="str">
        <f>IFERROR(__xludf.DUMMYFUNCTION("GOOGLETRANSLATE(A898, ""zh-CN"", ""en"")"),"Guangdong Province")</f>
        <v>Guangdong Province</v>
      </c>
      <c r="C972" s="1" t="s">
        <v>896</v>
      </c>
      <c r="D972" s="1" t="str">
        <f>IFERROR(__xludf.DUMMYFUNCTION("GOOGLETRANSLATE(C972, ""zh-CN"", ""en"")"),"Jingdezhen City")</f>
        <v>Jingdezhen City</v>
      </c>
      <c r="E972" s="1" t="s">
        <v>8</v>
      </c>
      <c r="F972" s="1" t="str">
        <f>IFERROR(__xludf.DUMMYFUNCTION("GOOGLETRANSLATE(E972, ""zh-CN"", ""en"")"),"Na")</f>
        <v>Na</v>
      </c>
      <c r="G972" s="1">
        <v>3.602E11</v>
      </c>
    </row>
    <row r="973">
      <c r="A973" s="1" t="s">
        <v>894</v>
      </c>
      <c r="B973" s="1" t="str">
        <f>IFERROR(__xludf.DUMMYFUNCTION("GOOGLETRANSLATE(A899, ""zh-CN"", ""en"")"),"Guangdong Province")</f>
        <v>Guangdong Province</v>
      </c>
      <c r="C973" s="1" t="s">
        <v>897</v>
      </c>
      <c r="D973" s="1" t="str">
        <f>IFERROR(__xludf.DUMMYFUNCTION("GOOGLETRANSLATE(C973, ""zh-CN"", ""en"")"),"Pingxiang City")</f>
        <v>Pingxiang City</v>
      </c>
      <c r="E973" s="1" t="s">
        <v>8</v>
      </c>
      <c r="F973" s="1" t="str">
        <f>IFERROR(__xludf.DUMMYFUNCTION("GOOGLETRANSLATE(E973, ""zh-CN"", ""en"")"),"Na")</f>
        <v>Na</v>
      </c>
      <c r="G973" s="1">
        <v>3.603E11</v>
      </c>
    </row>
    <row r="974">
      <c r="A974" s="1" t="s">
        <v>894</v>
      </c>
      <c r="B974" s="1" t="str">
        <f>IFERROR(__xludf.DUMMYFUNCTION("GOOGLETRANSLATE(A900, ""zh-CN"", ""en"")"),"Guangdong Province")</f>
        <v>Guangdong Province</v>
      </c>
      <c r="C974" s="1" t="s">
        <v>898</v>
      </c>
      <c r="D974" s="1" t="str">
        <f>IFERROR(__xludf.DUMMYFUNCTION("GOOGLETRANSLATE(C974, ""zh-CN"", ""en"")"),"Jiujiang City")</f>
        <v>Jiujiang City</v>
      </c>
      <c r="E974" s="1" t="s">
        <v>8</v>
      </c>
      <c r="F974" s="1" t="str">
        <f>IFERROR(__xludf.DUMMYFUNCTION("GOOGLETRANSLATE(E974, ""zh-CN"", ""en"")"),"Na")</f>
        <v>Na</v>
      </c>
      <c r="G974" s="1">
        <v>3.604E11</v>
      </c>
    </row>
    <row r="975">
      <c r="A975" s="1" t="s">
        <v>894</v>
      </c>
      <c r="B975" s="1" t="str">
        <f>IFERROR(__xludf.DUMMYFUNCTION("GOOGLETRANSLATE(A901, ""zh-CN"", ""en"")"),"Guangdong Province")</f>
        <v>Guangdong Province</v>
      </c>
      <c r="C975" s="1" t="s">
        <v>899</v>
      </c>
      <c r="D975" s="1" t="str">
        <f>IFERROR(__xludf.DUMMYFUNCTION("GOOGLETRANSLATE(C975, ""zh-CN"", ""en"")"),"Xinyu City")</f>
        <v>Xinyu City</v>
      </c>
      <c r="E975" s="1" t="s">
        <v>8</v>
      </c>
      <c r="F975" s="1" t="str">
        <f>IFERROR(__xludf.DUMMYFUNCTION("GOOGLETRANSLATE(E975, ""zh-CN"", ""en"")"),"Na")</f>
        <v>Na</v>
      </c>
      <c r="G975" s="1">
        <v>3.605E11</v>
      </c>
    </row>
    <row r="976">
      <c r="A976" s="1" t="s">
        <v>894</v>
      </c>
      <c r="B976" s="1" t="str">
        <f>IFERROR(__xludf.DUMMYFUNCTION("GOOGLETRANSLATE(A902, ""zh-CN"", ""en"")"),"Guangdong Province")</f>
        <v>Guangdong Province</v>
      </c>
      <c r="C976" s="1" t="s">
        <v>900</v>
      </c>
      <c r="D976" s="1" t="str">
        <f>IFERROR(__xludf.DUMMYFUNCTION("GOOGLETRANSLATE(C976, ""zh-CN"", ""en"")"),"Yingtan City")</f>
        <v>Yingtan City</v>
      </c>
      <c r="E976" s="1" t="s">
        <v>8</v>
      </c>
      <c r="F976" s="1" t="str">
        <f>IFERROR(__xludf.DUMMYFUNCTION("GOOGLETRANSLATE(E976, ""zh-CN"", ""en"")"),"Na")</f>
        <v>Na</v>
      </c>
      <c r="G976" s="1">
        <v>3.606E11</v>
      </c>
    </row>
    <row r="977">
      <c r="A977" s="1" t="s">
        <v>894</v>
      </c>
      <c r="B977" s="1" t="str">
        <f>IFERROR(__xludf.DUMMYFUNCTION("GOOGLETRANSLATE(A903, ""zh-CN"", ""en"")"),"Guangdong Province")</f>
        <v>Guangdong Province</v>
      </c>
      <c r="C977" s="1" t="s">
        <v>901</v>
      </c>
      <c r="D977" s="1" t="str">
        <f>IFERROR(__xludf.DUMMYFUNCTION("GOOGLETRANSLATE(C977, ""zh-CN"", ""en"")"),"Ganzhou City")</f>
        <v>Ganzhou City</v>
      </c>
      <c r="E977" s="1" t="s">
        <v>8</v>
      </c>
      <c r="F977" s="1" t="str">
        <f>IFERROR(__xludf.DUMMYFUNCTION("GOOGLETRANSLATE(E977, ""zh-CN"", ""en"")"),"Na")</f>
        <v>Na</v>
      </c>
      <c r="G977" s="1">
        <v>3.607E11</v>
      </c>
    </row>
    <row r="978">
      <c r="A978" s="1" t="s">
        <v>894</v>
      </c>
      <c r="B978" s="1" t="str">
        <f>IFERROR(__xludf.DUMMYFUNCTION("GOOGLETRANSLATE(A904, ""zh-CN"", ""en"")"),"Guangdong Province")</f>
        <v>Guangdong Province</v>
      </c>
      <c r="C978" s="1" t="s">
        <v>902</v>
      </c>
      <c r="D978" s="1" t="str">
        <f>IFERROR(__xludf.DUMMYFUNCTION("GOOGLETRANSLATE(C978, ""zh-CN"", ""en"")"),"Ji'an City")</f>
        <v>Ji'an City</v>
      </c>
      <c r="E978" s="1" t="s">
        <v>8</v>
      </c>
      <c r="F978" s="1" t="str">
        <f>IFERROR(__xludf.DUMMYFUNCTION("GOOGLETRANSLATE(E978, ""zh-CN"", ""en"")"),"Na")</f>
        <v>Na</v>
      </c>
      <c r="G978" s="1">
        <v>3.608E11</v>
      </c>
    </row>
    <row r="979">
      <c r="A979" s="1" t="s">
        <v>894</v>
      </c>
      <c r="B979" s="1" t="str">
        <f>IFERROR(__xludf.DUMMYFUNCTION("GOOGLETRANSLATE(A905, ""zh-CN"", ""en"")"),"Guangdong Province")</f>
        <v>Guangdong Province</v>
      </c>
      <c r="C979" s="1" t="s">
        <v>903</v>
      </c>
      <c r="D979" s="1" t="str">
        <f>IFERROR(__xludf.DUMMYFUNCTION("GOOGLETRANSLATE(C979, ""zh-CN"", ""en"")"),"Yichun City")</f>
        <v>Yichun City</v>
      </c>
      <c r="E979" s="1" t="s">
        <v>8</v>
      </c>
      <c r="F979" s="1" t="str">
        <f>IFERROR(__xludf.DUMMYFUNCTION("GOOGLETRANSLATE(E979, ""zh-CN"", ""en"")"),"Na")</f>
        <v>Na</v>
      </c>
      <c r="G979" s="1">
        <v>3.609E11</v>
      </c>
    </row>
    <row r="980">
      <c r="A980" s="1" t="s">
        <v>894</v>
      </c>
      <c r="B980" s="1" t="str">
        <f>IFERROR(__xludf.DUMMYFUNCTION("GOOGLETRANSLATE(A906, ""zh-CN"", ""en"")"),"Guangdong Province")</f>
        <v>Guangdong Province</v>
      </c>
      <c r="C980" s="1" t="s">
        <v>904</v>
      </c>
      <c r="D980" s="1" t="str">
        <f>IFERROR(__xludf.DUMMYFUNCTION("GOOGLETRANSLATE(C980, ""zh-CN"", ""en"")"),"Fuzhou")</f>
        <v>Fuzhou</v>
      </c>
      <c r="E980" s="1" t="s">
        <v>8</v>
      </c>
      <c r="F980" s="1" t="str">
        <f>IFERROR(__xludf.DUMMYFUNCTION("GOOGLETRANSLATE(E980, ""zh-CN"", ""en"")"),"Na")</f>
        <v>Na</v>
      </c>
      <c r="G980" s="1">
        <v>3.61E11</v>
      </c>
    </row>
    <row r="981">
      <c r="A981" s="1" t="s">
        <v>894</v>
      </c>
      <c r="B981" s="1" t="str">
        <f>IFERROR(__xludf.DUMMYFUNCTION("GOOGLETRANSLATE(A907, ""zh-CN"", ""en"")"),"Guangdong Province")</f>
        <v>Guangdong Province</v>
      </c>
      <c r="C981" s="1" t="s">
        <v>905</v>
      </c>
      <c r="D981" s="1" t="str">
        <f>IFERROR(__xludf.DUMMYFUNCTION("GOOGLETRANSLATE(C981, ""zh-CN"", ""en"")"),"Shangrao City")</f>
        <v>Shangrao City</v>
      </c>
      <c r="E981" s="1" t="s">
        <v>8</v>
      </c>
      <c r="F981" s="1" t="str">
        <f>IFERROR(__xludf.DUMMYFUNCTION("GOOGLETRANSLATE(E981, ""zh-CN"", ""en"")"),"Na")</f>
        <v>Na</v>
      </c>
      <c r="G981" s="1">
        <v>3.611E11</v>
      </c>
    </row>
    <row r="982">
      <c r="A982" s="1" t="s">
        <v>894</v>
      </c>
      <c r="B982" s="1" t="str">
        <f>IFERROR(__xludf.DUMMYFUNCTION("GOOGLETRANSLATE(A908, ""zh-CN"", ""en"")"),"Guangdong Province")</f>
        <v>Guangdong Province</v>
      </c>
      <c r="C982" s="1" t="s">
        <v>895</v>
      </c>
      <c r="D982" s="1" t="str">
        <f>IFERROR(__xludf.DUMMYFUNCTION("GOOGLETRANSLATE(C982, ""zh-CN"", ""en"")"),"Nanchang")</f>
        <v>Nanchang</v>
      </c>
      <c r="E982" s="1" t="s">
        <v>24</v>
      </c>
      <c r="F982" s="1" t="str">
        <f>IFERROR(__xludf.DUMMYFUNCTION("GOOGLETRANSLATE(E982, ""zh-CN"", ""en"")"),"City area")</f>
        <v>City area</v>
      </c>
      <c r="G982" s="1">
        <v>3.60101E11</v>
      </c>
    </row>
    <row r="983">
      <c r="A983" s="1" t="s">
        <v>894</v>
      </c>
      <c r="B983" s="1" t="str">
        <f>IFERROR(__xludf.DUMMYFUNCTION("GOOGLETRANSLATE(A909, ""zh-CN"", ""en"")"),"Guangdong Province")</f>
        <v>Guangdong Province</v>
      </c>
      <c r="C983" s="1" t="s">
        <v>895</v>
      </c>
      <c r="D983" s="1" t="str">
        <f>IFERROR(__xludf.DUMMYFUNCTION("GOOGLETRANSLATE(C983, ""zh-CN"", ""en"")"),"Nanchang")</f>
        <v>Nanchang</v>
      </c>
      <c r="E983" s="1" t="s">
        <v>906</v>
      </c>
      <c r="F983" s="1" t="str">
        <f>IFERROR(__xludf.DUMMYFUNCTION("GOOGLETRANSLATE(E983, ""zh-CN"", ""en"")"),"Donghu District")</f>
        <v>Donghu District</v>
      </c>
      <c r="G983" s="1">
        <v>3.60102E11</v>
      </c>
    </row>
    <row r="984">
      <c r="A984" s="1" t="s">
        <v>894</v>
      </c>
      <c r="B984" s="1" t="str">
        <f>IFERROR(__xludf.DUMMYFUNCTION("GOOGLETRANSLATE(A910, ""zh-CN"", ""en"")"),"Guangdong Province")</f>
        <v>Guangdong Province</v>
      </c>
      <c r="C984" s="1" t="s">
        <v>895</v>
      </c>
      <c r="D984" s="1" t="str">
        <f>IFERROR(__xludf.DUMMYFUNCTION("GOOGLETRANSLATE(C984, ""zh-CN"", ""en"")"),"Nanchang")</f>
        <v>Nanchang</v>
      </c>
      <c r="E984" s="1" t="s">
        <v>501</v>
      </c>
      <c r="F984" s="1" t="str">
        <f>IFERROR(__xludf.DUMMYFUNCTION("GOOGLETRANSLATE(E984, ""zh-CN"", ""en"")"),"West Lake District")</f>
        <v>West Lake District</v>
      </c>
      <c r="G984" s="1">
        <v>3.60103E11</v>
      </c>
    </row>
    <row r="985">
      <c r="A985" s="1" t="s">
        <v>894</v>
      </c>
      <c r="B985" s="1" t="str">
        <f>IFERROR(__xludf.DUMMYFUNCTION("GOOGLETRANSLATE(A911, ""zh-CN"", ""en"")"),"Guangdong Province")</f>
        <v>Guangdong Province</v>
      </c>
      <c r="C985" s="1" t="s">
        <v>895</v>
      </c>
      <c r="D985" s="1" t="str">
        <f>IFERROR(__xludf.DUMMYFUNCTION("GOOGLETRANSLATE(C985, ""zh-CN"", ""en"")"),"Nanchang")</f>
        <v>Nanchang</v>
      </c>
      <c r="E985" s="1" t="s">
        <v>907</v>
      </c>
      <c r="F985" s="1" t="str">
        <f>IFERROR(__xludf.DUMMYFUNCTION("GOOGLETRANSLATE(E985, ""zh-CN"", ""en"")"),"Qingyun spectrum area")</f>
        <v>Qingyun spectrum area</v>
      </c>
      <c r="G985" s="1">
        <v>3.60104E11</v>
      </c>
    </row>
    <row r="986">
      <c r="A986" s="1" t="s">
        <v>894</v>
      </c>
      <c r="B986" s="1" t="str">
        <f>IFERROR(__xludf.DUMMYFUNCTION("GOOGLETRANSLATE(A912, ""zh-CN"", ""en"")"),"Guangdong Province")</f>
        <v>Guangdong Province</v>
      </c>
      <c r="C986" s="1" t="s">
        <v>895</v>
      </c>
      <c r="D986" s="1" t="str">
        <f>IFERROR(__xludf.DUMMYFUNCTION("GOOGLETRANSLATE(C986, ""zh-CN"", ""en"")"),"Nanchang")</f>
        <v>Nanchang</v>
      </c>
      <c r="E986" s="1" t="s">
        <v>908</v>
      </c>
      <c r="F986" s="1" t="str">
        <f>IFERROR(__xludf.DUMMYFUNCTION("GOOGLETRANSLATE(E986, ""zh-CN"", ""en"")"),"Qingshan Lake District")</f>
        <v>Qingshan Lake District</v>
      </c>
      <c r="G986" s="1">
        <v>3.60111E11</v>
      </c>
    </row>
    <row r="987">
      <c r="A987" s="1" t="s">
        <v>894</v>
      </c>
      <c r="B987" s="1" t="str">
        <f>IFERROR(__xludf.DUMMYFUNCTION("GOOGLETRANSLATE(A913, ""zh-CN"", ""en"")"),"Guangdong Province")</f>
        <v>Guangdong Province</v>
      </c>
      <c r="C987" s="1" t="s">
        <v>895</v>
      </c>
      <c r="D987" s="1" t="str">
        <f>IFERROR(__xludf.DUMMYFUNCTION("GOOGLETRANSLATE(C987, ""zh-CN"", ""en"")"),"Nanchang")</f>
        <v>Nanchang</v>
      </c>
      <c r="E987" s="1" t="s">
        <v>909</v>
      </c>
      <c r="F987" s="1" t="str">
        <f>IFERROR(__xludf.DUMMYFUNCTION("GOOGLETRANSLATE(E987, ""zh-CN"", ""en"")"),"New district")</f>
        <v>New district</v>
      </c>
      <c r="G987" s="1">
        <v>3.60112E11</v>
      </c>
    </row>
    <row r="988">
      <c r="A988" s="1" t="s">
        <v>894</v>
      </c>
      <c r="B988" s="1" t="str">
        <f>IFERROR(__xludf.DUMMYFUNCTION("GOOGLETRANSLATE(A914, ""zh-CN"", ""en"")"),"Guangdong Province")</f>
        <v>Guangdong Province</v>
      </c>
      <c r="C988" s="1" t="s">
        <v>895</v>
      </c>
      <c r="D988" s="1" t="str">
        <f>IFERROR(__xludf.DUMMYFUNCTION("GOOGLETRANSLATE(C988, ""zh-CN"", ""en"")"),"Nanchang")</f>
        <v>Nanchang</v>
      </c>
      <c r="E988" s="1" t="s">
        <v>910</v>
      </c>
      <c r="F988" s="1" t="str">
        <f>IFERROR(__xludf.DUMMYFUNCTION("GOOGLETRANSLATE(E988, ""zh-CN"", ""en"")"),"Honggutan District")</f>
        <v>Honggutan District</v>
      </c>
      <c r="G988" s="1">
        <v>3.60113E11</v>
      </c>
    </row>
    <row r="989">
      <c r="A989" s="1" t="s">
        <v>894</v>
      </c>
      <c r="B989" s="1" t="str">
        <f>IFERROR(__xludf.DUMMYFUNCTION("GOOGLETRANSLATE(A915, ""zh-CN"", ""en"")"),"Guangdong Province")</f>
        <v>Guangdong Province</v>
      </c>
      <c r="C989" s="1" t="s">
        <v>895</v>
      </c>
      <c r="D989" s="1" t="str">
        <f>IFERROR(__xludf.DUMMYFUNCTION("GOOGLETRANSLATE(C989, ""zh-CN"", ""en"")"),"Nanchang")</f>
        <v>Nanchang</v>
      </c>
      <c r="E989" s="1" t="s">
        <v>911</v>
      </c>
      <c r="F989" s="1" t="str">
        <f>IFERROR(__xludf.DUMMYFUNCTION("GOOGLETRANSLATE(E989, ""zh-CN"", ""en"")"),"Nanchang County")</f>
        <v>Nanchang County</v>
      </c>
      <c r="G989" s="1">
        <v>3.60121E11</v>
      </c>
    </row>
    <row r="990">
      <c r="A990" s="1" t="s">
        <v>894</v>
      </c>
      <c r="B990" s="1" t="str">
        <f>IFERROR(__xludf.DUMMYFUNCTION("GOOGLETRANSLATE(A916, ""zh-CN"", ""en"")"),"Guangdong Province")</f>
        <v>Guangdong Province</v>
      </c>
      <c r="C990" s="1" t="s">
        <v>895</v>
      </c>
      <c r="D990" s="1" t="str">
        <f>IFERROR(__xludf.DUMMYFUNCTION("GOOGLETRANSLATE(C990, ""zh-CN"", ""en"")"),"Nanchang")</f>
        <v>Nanchang</v>
      </c>
      <c r="E990" s="1" t="s">
        <v>912</v>
      </c>
      <c r="F990" s="1" t="str">
        <f>IFERROR(__xludf.DUMMYFUNCTION("GOOGLETRANSLATE(E990, ""zh-CN"", ""en"")"),"Anyi County")</f>
        <v>Anyi County</v>
      </c>
      <c r="G990" s="1">
        <v>3.60123E11</v>
      </c>
    </row>
    <row r="991">
      <c r="A991" s="1" t="s">
        <v>894</v>
      </c>
      <c r="B991" s="1" t="str">
        <f>IFERROR(__xludf.DUMMYFUNCTION("GOOGLETRANSLATE(A917, ""zh-CN"", ""en"")"),"Guangdong Province")</f>
        <v>Guangdong Province</v>
      </c>
      <c r="C991" s="1" t="s">
        <v>895</v>
      </c>
      <c r="D991" s="1" t="str">
        <f>IFERROR(__xludf.DUMMYFUNCTION("GOOGLETRANSLATE(C991, ""zh-CN"", ""en"")"),"Nanchang")</f>
        <v>Nanchang</v>
      </c>
      <c r="E991" s="1" t="s">
        <v>913</v>
      </c>
      <c r="F991" s="1" t="str">
        <f>IFERROR(__xludf.DUMMYFUNCTION("GOOGLETRANSLATE(E991, ""zh-CN"", ""en"")"),"Jinxian County")</f>
        <v>Jinxian County</v>
      </c>
      <c r="G991" s="1">
        <v>3.60124E11</v>
      </c>
    </row>
    <row r="992">
      <c r="A992" s="1" t="s">
        <v>894</v>
      </c>
      <c r="B992" s="1" t="str">
        <f>IFERROR(__xludf.DUMMYFUNCTION("GOOGLETRANSLATE(A918, ""zh-CN"", ""en"")"),"Guangdong Province")</f>
        <v>Guangdong Province</v>
      </c>
      <c r="C992" s="1" t="s">
        <v>896</v>
      </c>
      <c r="D992" s="1" t="str">
        <f>IFERROR(__xludf.DUMMYFUNCTION("GOOGLETRANSLATE(C992, ""zh-CN"", ""en"")"),"Jingdezhen City")</f>
        <v>Jingdezhen City</v>
      </c>
      <c r="E992" s="1" t="s">
        <v>24</v>
      </c>
      <c r="F992" s="1" t="str">
        <f>IFERROR(__xludf.DUMMYFUNCTION("GOOGLETRANSLATE(E992, ""zh-CN"", ""en"")"),"City area")</f>
        <v>City area</v>
      </c>
      <c r="G992" s="1">
        <v>3.60201E11</v>
      </c>
    </row>
    <row r="993">
      <c r="A993" s="1" t="s">
        <v>894</v>
      </c>
      <c r="B993" s="1" t="str">
        <f>IFERROR(__xludf.DUMMYFUNCTION("GOOGLETRANSLATE(A919, ""zh-CN"", ""en"")"),"Guangdong Province")</f>
        <v>Guangdong Province</v>
      </c>
      <c r="C993" s="1" t="s">
        <v>896</v>
      </c>
      <c r="D993" s="1" t="str">
        <f>IFERROR(__xludf.DUMMYFUNCTION("GOOGLETRANSLATE(C993, ""zh-CN"", ""en"")"),"Jingdezhen City")</f>
        <v>Jingdezhen City</v>
      </c>
      <c r="E993" s="1" t="s">
        <v>914</v>
      </c>
      <c r="F993" s="1" t="str">
        <f>IFERROR(__xludf.DUMMYFUNCTION("GOOGLETRANSLATE(E993, ""zh-CN"", ""en"")"),"Changjiang District")</f>
        <v>Changjiang District</v>
      </c>
      <c r="G993" s="1">
        <v>3.60202E11</v>
      </c>
    </row>
    <row r="994">
      <c r="A994" s="1" t="s">
        <v>894</v>
      </c>
      <c r="B994" s="1" t="str">
        <f>IFERROR(__xludf.DUMMYFUNCTION("GOOGLETRANSLATE(A920, ""zh-CN"", ""en"")"),"Guangdong Province")</f>
        <v>Guangdong Province</v>
      </c>
      <c r="C994" s="1" t="s">
        <v>896</v>
      </c>
      <c r="D994" s="1" t="str">
        <f>IFERROR(__xludf.DUMMYFUNCTION("GOOGLETRANSLATE(C994, ""zh-CN"", ""en"")"),"Jingdezhen City")</f>
        <v>Jingdezhen City</v>
      </c>
      <c r="E994" s="1" t="s">
        <v>915</v>
      </c>
      <c r="F994" s="1" t="str">
        <f>IFERROR(__xludf.DUMMYFUNCTION("GOOGLETRANSLATE(E994, ""zh-CN"", ""en"")"),"Zhu Shan District")</f>
        <v>Zhu Shan District</v>
      </c>
      <c r="G994" s="1">
        <v>3.60203E11</v>
      </c>
    </row>
    <row r="995">
      <c r="A995" s="1" t="s">
        <v>894</v>
      </c>
      <c r="B995" s="1" t="str">
        <f>IFERROR(__xludf.DUMMYFUNCTION("GOOGLETRANSLATE(A921, ""zh-CN"", ""en"")"),"Guangdong Province")</f>
        <v>Guangdong Province</v>
      </c>
      <c r="C995" s="1" t="s">
        <v>896</v>
      </c>
      <c r="D995" s="1" t="str">
        <f>IFERROR(__xludf.DUMMYFUNCTION("GOOGLETRANSLATE(C995, ""zh-CN"", ""en"")"),"Jingdezhen City")</f>
        <v>Jingdezhen City</v>
      </c>
      <c r="E995" s="1" t="s">
        <v>916</v>
      </c>
      <c r="F995" s="1" t="str">
        <f>IFERROR(__xludf.DUMMYFUNCTION("GOOGLETRANSLATE(E995, ""zh-CN"", ""en"")"),"Fu Liang County")</f>
        <v>Fu Liang County</v>
      </c>
      <c r="G995" s="1">
        <v>3.60222E11</v>
      </c>
    </row>
    <row r="996">
      <c r="A996" s="1" t="s">
        <v>894</v>
      </c>
      <c r="B996" s="1" t="str">
        <f>IFERROR(__xludf.DUMMYFUNCTION("GOOGLETRANSLATE(A922, ""zh-CN"", ""en"")"),"Guangdong Province")</f>
        <v>Guangdong Province</v>
      </c>
      <c r="C996" s="1" t="s">
        <v>896</v>
      </c>
      <c r="D996" s="1" t="str">
        <f>IFERROR(__xludf.DUMMYFUNCTION("GOOGLETRANSLATE(C996, ""zh-CN"", ""en"")"),"Jingdezhen City")</f>
        <v>Jingdezhen City</v>
      </c>
      <c r="E996" s="1" t="s">
        <v>917</v>
      </c>
      <c r="F996" s="1" t="str">
        <f>IFERROR(__xludf.DUMMYFUNCTION("GOOGLETRANSLATE(E996, ""zh-CN"", ""en"")"),"Leping City")</f>
        <v>Leping City</v>
      </c>
      <c r="G996" s="1">
        <v>3.60281E11</v>
      </c>
    </row>
    <row r="997">
      <c r="A997" s="1" t="s">
        <v>894</v>
      </c>
      <c r="B997" s="1" t="str">
        <f>IFERROR(__xludf.DUMMYFUNCTION("GOOGLETRANSLATE(A923, ""zh-CN"", ""en"")"),"Guangdong Province")</f>
        <v>Guangdong Province</v>
      </c>
      <c r="C997" s="1" t="s">
        <v>897</v>
      </c>
      <c r="D997" s="1" t="str">
        <f>IFERROR(__xludf.DUMMYFUNCTION("GOOGLETRANSLATE(C997, ""zh-CN"", ""en"")"),"Pingxiang City")</f>
        <v>Pingxiang City</v>
      </c>
      <c r="E997" s="1" t="s">
        <v>24</v>
      </c>
      <c r="F997" s="1" t="str">
        <f>IFERROR(__xludf.DUMMYFUNCTION("GOOGLETRANSLATE(E997, ""zh-CN"", ""en"")"),"City area")</f>
        <v>City area</v>
      </c>
      <c r="G997" s="1">
        <v>3.60301E11</v>
      </c>
    </row>
    <row r="998">
      <c r="A998" s="1" t="s">
        <v>894</v>
      </c>
      <c r="B998" s="1" t="str">
        <f>IFERROR(__xludf.DUMMYFUNCTION("GOOGLETRANSLATE(A924, ""zh-CN"", ""en"")"),"Guangdong Province")</f>
        <v>Guangdong Province</v>
      </c>
      <c r="C998" s="1" t="s">
        <v>897</v>
      </c>
      <c r="D998" s="1" t="str">
        <f>IFERROR(__xludf.DUMMYFUNCTION("GOOGLETRANSLATE(C998, ""zh-CN"", ""en"")"),"Pingxiang City")</f>
        <v>Pingxiang City</v>
      </c>
      <c r="E998" s="1" t="s">
        <v>918</v>
      </c>
      <c r="F998" s="1" t="str">
        <f>IFERROR(__xludf.DUMMYFUNCTION("GOOGLETRANSLATE(E998, ""zh-CN"", ""en"")"),"Anyuan District")</f>
        <v>Anyuan District</v>
      </c>
      <c r="G998" s="1">
        <v>3.60302E11</v>
      </c>
    </row>
    <row r="999">
      <c r="A999" s="1" t="s">
        <v>894</v>
      </c>
      <c r="B999" s="1" t="str">
        <f>IFERROR(__xludf.DUMMYFUNCTION("GOOGLETRANSLATE(A925, ""zh-CN"", ""en"")"),"Guangdong Province")</f>
        <v>Guangdong Province</v>
      </c>
      <c r="C999" s="1" t="s">
        <v>897</v>
      </c>
      <c r="D999" s="1" t="str">
        <f>IFERROR(__xludf.DUMMYFUNCTION("GOOGLETRANSLATE(C999, ""zh-CN"", ""en"")"),"Pingxiang City")</f>
        <v>Pingxiang City</v>
      </c>
      <c r="E999" s="1" t="s">
        <v>919</v>
      </c>
      <c r="F999" s="1" t="str">
        <f>IFERROR(__xludf.DUMMYFUNCTION("GOOGLETRANSLATE(E999, ""zh-CN"", ""en"")"),"Xiangdong District")</f>
        <v>Xiangdong District</v>
      </c>
      <c r="G999" s="1">
        <v>3.60313E11</v>
      </c>
    </row>
    <row r="1000">
      <c r="A1000" s="1" t="s">
        <v>894</v>
      </c>
      <c r="B1000" s="1" t="str">
        <f>IFERROR(__xludf.DUMMYFUNCTION("GOOGLETRANSLATE(A926, ""zh-CN"", ""en"")"),"Guangdong Province")</f>
        <v>Guangdong Province</v>
      </c>
      <c r="C1000" s="1" t="s">
        <v>897</v>
      </c>
      <c r="D1000" s="1" t="str">
        <f>IFERROR(__xludf.DUMMYFUNCTION("GOOGLETRANSLATE(C1000, ""zh-CN"", ""en"")"),"Pingxiang City")</f>
        <v>Pingxiang City</v>
      </c>
      <c r="E1000" s="1" t="s">
        <v>920</v>
      </c>
      <c r="F1000" s="1" t="str">
        <f>IFERROR(__xludf.DUMMYFUNCTION("GOOGLETRANSLATE(E1000, ""zh-CN"", ""en"")"),"Lianhua County")</f>
        <v>Lianhua County</v>
      </c>
      <c r="G1000" s="1">
        <v>3.60321E11</v>
      </c>
    </row>
    <row r="1001">
      <c r="A1001" s="1" t="s">
        <v>894</v>
      </c>
      <c r="B1001" s="1" t="str">
        <f>IFERROR(__xludf.DUMMYFUNCTION("GOOGLETRANSLATE(A927, ""zh-CN"", ""en"")"),"Guangdong Province")</f>
        <v>Guangdong Province</v>
      </c>
      <c r="C1001" s="1" t="s">
        <v>897</v>
      </c>
      <c r="D1001" s="1" t="str">
        <f>IFERROR(__xludf.DUMMYFUNCTION("GOOGLETRANSLATE(C1001, ""zh-CN"", ""en"")"),"Pingxiang City")</f>
        <v>Pingxiang City</v>
      </c>
      <c r="E1001" s="1" t="s">
        <v>921</v>
      </c>
      <c r="F1001" s="1" t="str">
        <f>IFERROR(__xludf.DUMMYFUNCTION("GOOGLETRANSLATE(E1001, ""zh-CN"", ""en"")"),"Shangli County")</f>
        <v>Shangli County</v>
      </c>
      <c r="G1001" s="1">
        <v>3.60322E11</v>
      </c>
    </row>
    <row r="1002">
      <c r="A1002" s="1" t="s">
        <v>894</v>
      </c>
      <c r="B1002" s="1" t="str">
        <f>IFERROR(__xludf.DUMMYFUNCTION("GOOGLETRANSLATE(A928, ""zh-CN"", ""en"")"),"Guangdong Province")</f>
        <v>Guangdong Province</v>
      </c>
      <c r="C1002" s="1" t="s">
        <v>897</v>
      </c>
      <c r="D1002" s="1" t="str">
        <f>IFERROR(__xludf.DUMMYFUNCTION("GOOGLETRANSLATE(C1002, ""zh-CN"", ""en"")"),"Pingxiang City")</f>
        <v>Pingxiang City</v>
      </c>
      <c r="E1002" s="1" t="s">
        <v>922</v>
      </c>
      <c r="F1002" s="1" t="str">
        <f>IFERROR(__xludf.DUMMYFUNCTION("GOOGLETRANSLATE(E1002, ""zh-CN"", ""en"")"),"Luxi County")</f>
        <v>Luxi County</v>
      </c>
      <c r="G1002" s="1">
        <v>3.60323E11</v>
      </c>
    </row>
    <row r="1003">
      <c r="A1003" s="1" t="s">
        <v>894</v>
      </c>
      <c r="B1003" s="1" t="str">
        <f>IFERROR(__xludf.DUMMYFUNCTION("GOOGLETRANSLATE(A929, ""zh-CN"", ""en"")"),"Guangdong Province")</f>
        <v>Guangdong Province</v>
      </c>
      <c r="C1003" s="1" t="s">
        <v>898</v>
      </c>
      <c r="D1003" s="1" t="str">
        <f>IFERROR(__xludf.DUMMYFUNCTION("GOOGLETRANSLATE(C1003, ""zh-CN"", ""en"")"),"Jiujiang City")</f>
        <v>Jiujiang City</v>
      </c>
      <c r="E1003" s="1" t="s">
        <v>24</v>
      </c>
      <c r="F1003" s="1" t="str">
        <f>IFERROR(__xludf.DUMMYFUNCTION("GOOGLETRANSLATE(E1003, ""zh-CN"", ""en"")"),"City area")</f>
        <v>City area</v>
      </c>
      <c r="G1003" s="1">
        <v>3.60401E11</v>
      </c>
    </row>
    <row r="1004">
      <c r="A1004" s="1" t="s">
        <v>894</v>
      </c>
      <c r="B1004" s="1" t="str">
        <f>IFERROR(__xludf.DUMMYFUNCTION("GOOGLETRANSLATE(A930, ""zh-CN"", ""en"")"),"Guangdong Province")</f>
        <v>Guangdong Province</v>
      </c>
      <c r="C1004" s="1" t="s">
        <v>898</v>
      </c>
      <c r="D1004" s="1" t="str">
        <f>IFERROR(__xludf.DUMMYFUNCTION("GOOGLETRANSLATE(C1004, ""zh-CN"", ""en"")"),"Jiujiang City")</f>
        <v>Jiujiang City</v>
      </c>
      <c r="E1004" s="1" t="s">
        <v>923</v>
      </c>
      <c r="F1004" s="1" t="str">
        <f>IFERROR(__xludf.DUMMYFUNCTION("GOOGLETRANSLATE(E1004, ""zh-CN"", ""en"")"),"Yixi District")</f>
        <v>Yixi District</v>
      </c>
      <c r="G1004" s="1">
        <v>3.60402E11</v>
      </c>
    </row>
    <row r="1005">
      <c r="A1005" s="1" t="s">
        <v>894</v>
      </c>
      <c r="B1005" s="1" t="str">
        <f>IFERROR(__xludf.DUMMYFUNCTION("GOOGLETRANSLATE(A931, ""zh-CN"", ""en"")"),"Guangdong Province")</f>
        <v>Guangdong Province</v>
      </c>
      <c r="C1005" s="1" t="s">
        <v>898</v>
      </c>
      <c r="D1005" s="1" t="str">
        <f>IFERROR(__xludf.DUMMYFUNCTION("GOOGLETRANSLATE(C1005, ""zh-CN"", ""en"")"),"Jiujiang City")</f>
        <v>Jiujiang City</v>
      </c>
      <c r="E1005" s="1" t="s">
        <v>924</v>
      </c>
      <c r="F1005" s="1" t="str">
        <f>IFERROR(__xludf.DUMMYFUNCTION("GOOGLETRANSLATE(E1005, ""zh-CN"", ""en"")"),"Xunyang District")</f>
        <v>Xunyang District</v>
      </c>
      <c r="G1005" s="1">
        <v>3.60403E11</v>
      </c>
    </row>
    <row r="1006">
      <c r="A1006" s="1" t="s">
        <v>894</v>
      </c>
      <c r="B1006" s="1" t="str">
        <f>IFERROR(__xludf.DUMMYFUNCTION("GOOGLETRANSLATE(A932, ""zh-CN"", ""en"")"),"Guangdong Province")</f>
        <v>Guangdong Province</v>
      </c>
      <c r="C1006" s="1" t="s">
        <v>898</v>
      </c>
      <c r="D1006" s="1" t="str">
        <f>IFERROR(__xludf.DUMMYFUNCTION("GOOGLETRANSLATE(C1006, ""zh-CN"", ""en"")"),"Jiujiang City")</f>
        <v>Jiujiang City</v>
      </c>
      <c r="E1006" s="1" t="s">
        <v>925</v>
      </c>
      <c r="F1006" s="1" t="str">
        <f>IFERROR(__xludf.DUMMYFUNCTION("GOOGLETRANSLATE(E1006, ""zh-CN"", ""en"")"),"Chai Sang District")</f>
        <v>Chai Sang District</v>
      </c>
      <c r="G1006" s="1">
        <v>3.60404E11</v>
      </c>
    </row>
    <row r="1007">
      <c r="A1007" s="1" t="s">
        <v>894</v>
      </c>
      <c r="B1007" s="1" t="str">
        <f>IFERROR(__xludf.DUMMYFUNCTION("GOOGLETRANSLATE(A933, ""zh-CN"", ""en"")"),"Guangdong Province")</f>
        <v>Guangdong Province</v>
      </c>
      <c r="C1007" s="1" t="s">
        <v>898</v>
      </c>
      <c r="D1007" s="1" t="str">
        <f>IFERROR(__xludf.DUMMYFUNCTION("GOOGLETRANSLATE(C1007, ""zh-CN"", ""en"")"),"Jiujiang City")</f>
        <v>Jiujiang City</v>
      </c>
      <c r="E1007" s="1" t="s">
        <v>926</v>
      </c>
      <c r="F1007" s="1" t="str">
        <f>IFERROR(__xludf.DUMMYFUNCTION("GOOGLETRANSLATE(E1007, ""zh-CN"", ""en"")"),"Wuning County")</f>
        <v>Wuning County</v>
      </c>
      <c r="G1007" s="1">
        <v>3.60423E11</v>
      </c>
    </row>
    <row r="1008">
      <c r="A1008" s="1" t="s">
        <v>894</v>
      </c>
      <c r="B1008" s="1" t="str">
        <f>IFERROR(__xludf.DUMMYFUNCTION("GOOGLETRANSLATE(A934, ""zh-CN"", ""en"")"),"Guangdong Province")</f>
        <v>Guangdong Province</v>
      </c>
      <c r="C1008" s="1" t="s">
        <v>898</v>
      </c>
      <c r="D1008" s="1" t="str">
        <f>IFERROR(__xludf.DUMMYFUNCTION("GOOGLETRANSLATE(C1008, ""zh-CN"", ""en"")"),"Jiujiang City")</f>
        <v>Jiujiang City</v>
      </c>
      <c r="E1008" s="1" t="s">
        <v>927</v>
      </c>
      <c r="F1008" s="1" t="str">
        <f>IFERROR(__xludf.DUMMYFUNCTION("GOOGLETRANSLATE(E1008, ""zh-CN"", ""en"")"),"Xiushui County")</f>
        <v>Xiushui County</v>
      </c>
      <c r="G1008" s="1">
        <v>3.60424E11</v>
      </c>
    </row>
    <row r="1009">
      <c r="A1009" s="1" t="s">
        <v>894</v>
      </c>
      <c r="B1009" s="1" t="str">
        <f>IFERROR(__xludf.DUMMYFUNCTION("GOOGLETRANSLATE(A935, ""zh-CN"", ""en"")"),"Guangdong Province")</f>
        <v>Guangdong Province</v>
      </c>
      <c r="C1009" s="1" t="s">
        <v>898</v>
      </c>
      <c r="D1009" s="1" t="str">
        <f>IFERROR(__xludf.DUMMYFUNCTION("GOOGLETRANSLATE(C1009, ""zh-CN"", ""en"")"),"Jiujiang City")</f>
        <v>Jiujiang City</v>
      </c>
      <c r="E1009" s="1" t="s">
        <v>928</v>
      </c>
      <c r="F1009" s="1" t="str">
        <f>IFERROR(__xludf.DUMMYFUNCTION("GOOGLETRANSLATE(E1009, ""zh-CN"", ""en"")"),"Yongxiu County")</f>
        <v>Yongxiu County</v>
      </c>
      <c r="G1009" s="1">
        <v>3.60425E11</v>
      </c>
    </row>
    <row r="1010">
      <c r="A1010" s="1" t="s">
        <v>894</v>
      </c>
      <c r="B1010" s="1" t="str">
        <f>IFERROR(__xludf.DUMMYFUNCTION("GOOGLETRANSLATE(A936, ""zh-CN"", ""en"")"),"Guangdong Province")</f>
        <v>Guangdong Province</v>
      </c>
      <c r="C1010" s="1" t="s">
        <v>898</v>
      </c>
      <c r="D1010" s="1" t="str">
        <f>IFERROR(__xludf.DUMMYFUNCTION("GOOGLETRANSLATE(C1010, ""zh-CN"", ""en"")"),"Jiujiang City")</f>
        <v>Jiujiang City</v>
      </c>
      <c r="E1010" s="1" t="s">
        <v>929</v>
      </c>
      <c r="F1010" s="1" t="str">
        <f>IFERROR(__xludf.DUMMYFUNCTION("GOOGLETRANSLATE(E1010, ""zh-CN"", ""en"")"),"De'an County")</f>
        <v>De'an County</v>
      </c>
      <c r="G1010" s="1">
        <v>3.60426E11</v>
      </c>
    </row>
    <row r="1011">
      <c r="A1011" s="1" t="s">
        <v>894</v>
      </c>
      <c r="B1011" s="1" t="str">
        <f>IFERROR(__xludf.DUMMYFUNCTION("GOOGLETRANSLATE(A937, ""zh-CN"", ""en"")"),"Ningxia Hui Autonomous Region")</f>
        <v>Ningxia Hui Autonomous Region</v>
      </c>
      <c r="C1011" s="1" t="s">
        <v>898</v>
      </c>
      <c r="D1011" s="1" t="str">
        <f>IFERROR(__xludf.DUMMYFUNCTION("GOOGLETRANSLATE(C1011, ""zh-CN"", ""en"")"),"Jiujiang City")</f>
        <v>Jiujiang City</v>
      </c>
      <c r="E1011" s="1" t="s">
        <v>930</v>
      </c>
      <c r="F1011" s="1" t="str">
        <f>IFERROR(__xludf.DUMMYFUNCTION("GOOGLETRANSLATE(E1011, ""zh-CN"", ""en"")"),"Duchang County")</f>
        <v>Duchang County</v>
      </c>
      <c r="G1011" s="1">
        <v>3.60428E11</v>
      </c>
    </row>
    <row r="1012">
      <c r="A1012" s="1" t="s">
        <v>894</v>
      </c>
      <c r="B1012" s="1" t="str">
        <f>IFERROR(__xludf.DUMMYFUNCTION("GOOGLETRANSLATE(A938, ""zh-CN"", ""en"")"),"Ningxia Hui Autonomous Region")</f>
        <v>Ningxia Hui Autonomous Region</v>
      </c>
      <c r="C1012" s="1" t="s">
        <v>898</v>
      </c>
      <c r="D1012" s="1" t="str">
        <f>IFERROR(__xludf.DUMMYFUNCTION("GOOGLETRANSLATE(C1012, ""zh-CN"", ""en"")"),"Jiujiang City")</f>
        <v>Jiujiang City</v>
      </c>
      <c r="E1012" s="1" t="s">
        <v>931</v>
      </c>
      <c r="F1012" s="1" t="str">
        <f>IFERROR(__xludf.DUMMYFUNCTION("GOOGLETRANSLATE(E1012, ""zh-CN"", ""en"")"),"Hukou County")</f>
        <v>Hukou County</v>
      </c>
      <c r="G1012" s="1">
        <v>3.60429E11</v>
      </c>
    </row>
    <row r="1013">
      <c r="A1013" s="1" t="s">
        <v>894</v>
      </c>
      <c r="B1013" s="1" t="str">
        <f>IFERROR(__xludf.DUMMYFUNCTION("GOOGLETRANSLATE(A939, ""zh-CN"", ""en"")"),"Ningxia Hui Autonomous Region")</f>
        <v>Ningxia Hui Autonomous Region</v>
      </c>
      <c r="C1013" s="1" t="s">
        <v>898</v>
      </c>
      <c r="D1013" s="1" t="str">
        <f>IFERROR(__xludf.DUMMYFUNCTION("GOOGLETRANSLATE(C1013, ""zh-CN"", ""en"")"),"Jiujiang City")</f>
        <v>Jiujiang City</v>
      </c>
      <c r="E1013" s="1" t="s">
        <v>932</v>
      </c>
      <c r="F1013" s="1" t="str">
        <f>IFERROR(__xludf.DUMMYFUNCTION("GOOGLETRANSLATE(E1013, ""zh-CN"", ""en"")"),"Pengze County")</f>
        <v>Pengze County</v>
      </c>
      <c r="G1013" s="1">
        <v>3.6043E11</v>
      </c>
    </row>
    <row r="1014">
      <c r="A1014" s="1" t="s">
        <v>894</v>
      </c>
      <c r="B1014" s="1" t="str">
        <f>IFERROR(__xludf.DUMMYFUNCTION("GOOGLETRANSLATE(A940, ""zh-CN"", ""en"")"),"Ningxia Hui Autonomous Region")</f>
        <v>Ningxia Hui Autonomous Region</v>
      </c>
      <c r="C1014" s="1" t="s">
        <v>898</v>
      </c>
      <c r="D1014" s="1" t="str">
        <f>IFERROR(__xludf.DUMMYFUNCTION("GOOGLETRANSLATE(C1014, ""zh-CN"", ""en"")"),"Jiujiang City")</f>
        <v>Jiujiang City</v>
      </c>
      <c r="E1014" s="1" t="s">
        <v>933</v>
      </c>
      <c r="F1014" s="1" t="str">
        <f>IFERROR(__xludf.DUMMYFUNCTION("GOOGLETRANSLATE(E1014, ""zh-CN"", ""en"")"),"Ruichang City")</f>
        <v>Ruichang City</v>
      </c>
      <c r="G1014" s="1">
        <v>3.60481E11</v>
      </c>
    </row>
    <row r="1015">
      <c r="A1015" s="1" t="s">
        <v>894</v>
      </c>
      <c r="B1015" s="1" t="str">
        <f>IFERROR(__xludf.DUMMYFUNCTION("GOOGLETRANSLATE(A941, ""zh-CN"", ""en"")"),"Ningxia Hui Autonomous Region")</f>
        <v>Ningxia Hui Autonomous Region</v>
      </c>
      <c r="C1015" s="1" t="s">
        <v>898</v>
      </c>
      <c r="D1015" s="1" t="str">
        <f>IFERROR(__xludf.DUMMYFUNCTION("GOOGLETRANSLATE(C1015, ""zh-CN"", ""en"")"),"Jiujiang City")</f>
        <v>Jiujiang City</v>
      </c>
      <c r="E1015" s="1" t="s">
        <v>934</v>
      </c>
      <c r="F1015" s="1" t="str">
        <f>IFERROR(__xludf.DUMMYFUNCTION("GOOGLETRANSLATE(E1015, ""zh-CN"", ""en"")"),"Communist Youth City")</f>
        <v>Communist Youth City</v>
      </c>
      <c r="G1015" s="1">
        <v>3.60482E11</v>
      </c>
    </row>
    <row r="1016">
      <c r="A1016" s="1" t="s">
        <v>894</v>
      </c>
      <c r="B1016" s="1" t="str">
        <f>IFERROR(__xludf.DUMMYFUNCTION("GOOGLETRANSLATE(A942, ""zh-CN"", ""en"")"),"Ningxia Hui Autonomous Region")</f>
        <v>Ningxia Hui Autonomous Region</v>
      </c>
      <c r="C1016" s="1" t="s">
        <v>898</v>
      </c>
      <c r="D1016" s="1" t="str">
        <f>IFERROR(__xludf.DUMMYFUNCTION("GOOGLETRANSLATE(C1016, ""zh-CN"", ""en"")"),"Jiujiang City")</f>
        <v>Jiujiang City</v>
      </c>
      <c r="E1016" s="1" t="s">
        <v>935</v>
      </c>
      <c r="F1016" s="1" t="str">
        <f>IFERROR(__xludf.DUMMYFUNCTION("GOOGLETRANSLATE(E1016, ""zh-CN"", ""en"")"),"Lushan City")</f>
        <v>Lushan City</v>
      </c>
      <c r="G1016" s="1">
        <v>3.60483E11</v>
      </c>
    </row>
    <row r="1017">
      <c r="A1017" s="1" t="s">
        <v>894</v>
      </c>
      <c r="B1017" s="1" t="str">
        <f>IFERROR(__xludf.DUMMYFUNCTION("GOOGLETRANSLATE(A943, ""zh-CN"", ""en"")"),"Ningxia Hui Autonomous Region")</f>
        <v>Ningxia Hui Autonomous Region</v>
      </c>
      <c r="C1017" s="1" t="s">
        <v>899</v>
      </c>
      <c r="D1017" s="1" t="str">
        <f>IFERROR(__xludf.DUMMYFUNCTION("GOOGLETRANSLATE(C1017, ""zh-CN"", ""en"")"),"Xinyu City")</f>
        <v>Xinyu City</v>
      </c>
      <c r="E1017" s="1" t="s">
        <v>24</v>
      </c>
      <c r="F1017" s="1" t="str">
        <f>IFERROR(__xludf.DUMMYFUNCTION("GOOGLETRANSLATE(E1017, ""zh-CN"", ""en"")"),"City area")</f>
        <v>City area</v>
      </c>
      <c r="G1017" s="1">
        <v>3.60501E11</v>
      </c>
    </row>
    <row r="1018">
      <c r="A1018" s="1" t="s">
        <v>894</v>
      </c>
      <c r="B1018" s="1" t="str">
        <f>IFERROR(__xludf.DUMMYFUNCTION("GOOGLETRANSLATE(A944, ""zh-CN"", ""en"")"),"Ningxia Hui Autonomous Region")</f>
        <v>Ningxia Hui Autonomous Region</v>
      </c>
      <c r="C1018" s="1" t="s">
        <v>899</v>
      </c>
      <c r="D1018" s="1" t="str">
        <f>IFERROR(__xludf.DUMMYFUNCTION("GOOGLETRANSLATE(C1018, ""zh-CN"", ""en"")"),"Xinyu City")</f>
        <v>Xinyu City</v>
      </c>
      <c r="E1018" s="1" t="s">
        <v>936</v>
      </c>
      <c r="F1018" s="1" t="str">
        <f>IFERROR(__xludf.DUMMYFUNCTION("GOOGLETRANSLATE(E1018, ""zh-CN"", ""en"")"),"Yushui District")</f>
        <v>Yushui District</v>
      </c>
      <c r="G1018" s="1">
        <v>3.60502E11</v>
      </c>
    </row>
    <row r="1019">
      <c r="A1019" s="1" t="s">
        <v>894</v>
      </c>
      <c r="B1019" s="1" t="str">
        <f>IFERROR(__xludf.DUMMYFUNCTION("GOOGLETRANSLATE(A945, ""zh-CN"", ""en"")"),"Ningxia Hui Autonomous Region")</f>
        <v>Ningxia Hui Autonomous Region</v>
      </c>
      <c r="C1019" s="1" t="s">
        <v>899</v>
      </c>
      <c r="D1019" s="1" t="str">
        <f>IFERROR(__xludf.DUMMYFUNCTION("GOOGLETRANSLATE(C1019, ""zh-CN"", ""en"")"),"Xinyu City")</f>
        <v>Xinyu City</v>
      </c>
      <c r="E1019" s="1" t="s">
        <v>937</v>
      </c>
      <c r="F1019" s="1" t="str">
        <f>IFERROR(__xludf.DUMMYFUNCTION("GOOGLETRANSLATE(E1019, ""zh-CN"", ""en"")"),"Division County")</f>
        <v>Division County</v>
      </c>
      <c r="G1019" s="1">
        <v>3.60521E11</v>
      </c>
    </row>
    <row r="1020">
      <c r="A1020" s="1" t="s">
        <v>894</v>
      </c>
      <c r="B1020" s="1" t="str">
        <f>IFERROR(__xludf.DUMMYFUNCTION("GOOGLETRANSLATE(A946, ""zh-CN"", ""en"")"),"Ningxia Hui Autonomous Region")</f>
        <v>Ningxia Hui Autonomous Region</v>
      </c>
      <c r="C1020" s="1" t="s">
        <v>900</v>
      </c>
      <c r="D1020" s="1" t="str">
        <f>IFERROR(__xludf.DUMMYFUNCTION("GOOGLETRANSLATE(C1020, ""zh-CN"", ""en"")"),"Yingtan City")</f>
        <v>Yingtan City</v>
      </c>
      <c r="E1020" s="1" t="s">
        <v>24</v>
      </c>
      <c r="F1020" s="1" t="str">
        <f>IFERROR(__xludf.DUMMYFUNCTION("GOOGLETRANSLATE(E1020, ""zh-CN"", ""en"")"),"City area")</f>
        <v>City area</v>
      </c>
      <c r="G1020" s="1">
        <v>3.60601E11</v>
      </c>
    </row>
    <row r="1021">
      <c r="A1021" s="1" t="s">
        <v>894</v>
      </c>
      <c r="B1021" s="1" t="str">
        <f>IFERROR(__xludf.DUMMYFUNCTION("GOOGLETRANSLATE(A947, ""zh-CN"", ""en"")"),"Ningxia Hui Autonomous Region")</f>
        <v>Ningxia Hui Autonomous Region</v>
      </c>
      <c r="C1021" s="1" t="s">
        <v>900</v>
      </c>
      <c r="D1021" s="1" t="str">
        <f>IFERROR(__xludf.DUMMYFUNCTION("GOOGLETRANSLATE(C1021, ""zh-CN"", ""en"")"),"Yingtan City")</f>
        <v>Yingtan City</v>
      </c>
      <c r="E1021" s="1" t="s">
        <v>938</v>
      </c>
      <c r="F1021" s="1" t="str">
        <f>IFERROR(__xludf.DUMMYFUNCTION("GOOGLETRANSLATE(E1021, ""zh-CN"", ""en"")"),"Moon Lake District")</f>
        <v>Moon Lake District</v>
      </c>
      <c r="G1021" s="1">
        <v>3.60602E11</v>
      </c>
    </row>
    <row r="1022">
      <c r="A1022" s="1" t="s">
        <v>894</v>
      </c>
      <c r="B1022" s="1" t="str">
        <f>IFERROR(__xludf.DUMMYFUNCTION("GOOGLETRANSLATE(A948, ""zh-CN"", ""en"")"),"Ningxia Hui Autonomous Region")</f>
        <v>Ningxia Hui Autonomous Region</v>
      </c>
      <c r="C1022" s="1" t="s">
        <v>900</v>
      </c>
      <c r="D1022" s="1" t="str">
        <f>IFERROR(__xludf.DUMMYFUNCTION("GOOGLETRANSLATE(C1022, ""zh-CN"", ""en"")"),"Yingtan City")</f>
        <v>Yingtan City</v>
      </c>
      <c r="E1022" s="1" t="s">
        <v>939</v>
      </c>
      <c r="F1022" s="1" t="str">
        <f>IFERROR(__xludf.DUMMYFUNCTION("GOOGLETRANSLATE(E1022, ""zh-CN"", ""en"")"),"Yujiang District")</f>
        <v>Yujiang District</v>
      </c>
      <c r="G1022" s="1">
        <v>3.60603E11</v>
      </c>
    </row>
    <row r="1023">
      <c r="A1023" s="1" t="s">
        <v>894</v>
      </c>
      <c r="B1023" s="1" t="str">
        <f>IFERROR(__xludf.DUMMYFUNCTION("GOOGLETRANSLATE(A949, ""zh-CN"", ""en"")"),"Ningxia Hui Autonomous Region")</f>
        <v>Ningxia Hui Autonomous Region</v>
      </c>
      <c r="C1023" s="1" t="s">
        <v>900</v>
      </c>
      <c r="D1023" s="1" t="str">
        <f>IFERROR(__xludf.DUMMYFUNCTION("GOOGLETRANSLATE(C1023, ""zh-CN"", ""en"")"),"Yingtan City")</f>
        <v>Yingtan City</v>
      </c>
      <c r="E1023" s="1" t="s">
        <v>940</v>
      </c>
      <c r="F1023" s="1" t="str">
        <f>IFERROR(__xludf.DUMMYFUNCTION("GOOGLETRANSLATE(E1023, ""zh-CN"", ""en"")"),"Guixi City")</f>
        <v>Guixi City</v>
      </c>
      <c r="G1023" s="1">
        <v>3.60681E11</v>
      </c>
    </row>
    <row r="1024">
      <c r="A1024" s="1" t="s">
        <v>894</v>
      </c>
      <c r="B1024" s="1" t="str">
        <f>IFERROR(__xludf.DUMMYFUNCTION("GOOGLETRANSLATE(A950, ""zh-CN"", ""en"")"),"Ningxia Hui Autonomous Region")</f>
        <v>Ningxia Hui Autonomous Region</v>
      </c>
      <c r="C1024" s="1" t="s">
        <v>901</v>
      </c>
      <c r="D1024" s="1" t="str">
        <f>IFERROR(__xludf.DUMMYFUNCTION("GOOGLETRANSLATE(C1024, ""zh-CN"", ""en"")"),"Ganzhou City")</f>
        <v>Ganzhou City</v>
      </c>
      <c r="E1024" s="1" t="s">
        <v>24</v>
      </c>
      <c r="F1024" s="1" t="str">
        <f>IFERROR(__xludf.DUMMYFUNCTION("GOOGLETRANSLATE(E1024, ""zh-CN"", ""en"")"),"City area")</f>
        <v>City area</v>
      </c>
      <c r="G1024" s="1">
        <v>3.60701E11</v>
      </c>
    </row>
    <row r="1025">
      <c r="A1025" s="1" t="s">
        <v>894</v>
      </c>
      <c r="B1025" s="1" t="str">
        <f>IFERROR(__xludf.DUMMYFUNCTION("GOOGLETRANSLATE(A951, ""zh-CN"", ""en"")"),"Ningxia Hui Autonomous Region")</f>
        <v>Ningxia Hui Autonomous Region</v>
      </c>
      <c r="C1025" s="1" t="s">
        <v>901</v>
      </c>
      <c r="D1025" s="1" t="str">
        <f>IFERROR(__xludf.DUMMYFUNCTION("GOOGLETRANSLATE(C1025, ""zh-CN"", ""en"")"),"Ganzhou City")</f>
        <v>Ganzhou City</v>
      </c>
      <c r="E1025" s="1" t="s">
        <v>941</v>
      </c>
      <c r="F1025" s="1" t="str">
        <f>IFERROR(__xludf.DUMMYFUNCTION("GOOGLETRANSLATE(E1025, ""zh-CN"", ""en"")"),"Zhang tribute district")</f>
        <v>Zhang tribute district</v>
      </c>
      <c r="G1025" s="1">
        <v>3.60702E11</v>
      </c>
    </row>
    <row r="1026">
      <c r="A1026" s="1" t="s">
        <v>894</v>
      </c>
      <c r="B1026" s="1" t="str">
        <f>IFERROR(__xludf.DUMMYFUNCTION("GOOGLETRANSLATE(A952, ""zh-CN"", ""en"")"),"Ningxia Hui Autonomous Region")</f>
        <v>Ningxia Hui Autonomous Region</v>
      </c>
      <c r="C1026" s="1" t="s">
        <v>901</v>
      </c>
      <c r="D1026" s="1" t="str">
        <f>IFERROR(__xludf.DUMMYFUNCTION("GOOGLETRANSLATE(C1026, ""zh-CN"", ""en"")"),"Ganzhou City")</f>
        <v>Ganzhou City</v>
      </c>
      <c r="E1026" s="1" t="s">
        <v>942</v>
      </c>
      <c r="F1026" s="1" t="str">
        <f>IFERROR(__xludf.DUMMYFUNCTION("GOOGLETRANSLATE(E1026, ""zh-CN"", ""en"")"),"Nankang District")</f>
        <v>Nankang District</v>
      </c>
      <c r="G1026" s="1">
        <v>3.60703E11</v>
      </c>
    </row>
    <row r="1027">
      <c r="A1027" s="1" t="s">
        <v>894</v>
      </c>
      <c r="B1027" s="1" t="str">
        <f>IFERROR(__xludf.DUMMYFUNCTION("GOOGLETRANSLATE(A953, ""zh-CN"", ""en"")"),"Ningxia Hui Autonomous Region")</f>
        <v>Ningxia Hui Autonomous Region</v>
      </c>
      <c r="C1027" s="1" t="s">
        <v>901</v>
      </c>
      <c r="D1027" s="1" t="str">
        <f>IFERROR(__xludf.DUMMYFUNCTION("GOOGLETRANSLATE(C1027, ""zh-CN"", ""en"")"),"Ganzhou City")</f>
        <v>Ganzhou City</v>
      </c>
      <c r="E1027" s="1" t="s">
        <v>943</v>
      </c>
      <c r="F1027" s="1" t="str">
        <f>IFERROR(__xludf.DUMMYFUNCTION("GOOGLETRANSLATE(E1027, ""zh-CN"", ""en"")"),"Ganxian")</f>
        <v>Ganxian</v>
      </c>
      <c r="G1027" s="1">
        <v>3.60704E11</v>
      </c>
    </row>
    <row r="1028">
      <c r="A1028" s="1" t="s">
        <v>894</v>
      </c>
      <c r="B1028" s="1" t="str">
        <f>IFERROR(__xludf.DUMMYFUNCTION("GOOGLETRANSLATE(A954, ""zh-CN"", ""en"")"),"Ningxia Hui Autonomous Region")</f>
        <v>Ningxia Hui Autonomous Region</v>
      </c>
      <c r="C1028" s="1" t="s">
        <v>901</v>
      </c>
      <c r="D1028" s="1" t="str">
        <f>IFERROR(__xludf.DUMMYFUNCTION("GOOGLETRANSLATE(C1028, ""zh-CN"", ""en"")"),"Ganzhou City")</f>
        <v>Ganzhou City</v>
      </c>
      <c r="E1028" s="1" t="s">
        <v>944</v>
      </c>
      <c r="F1028" s="1" t="str">
        <f>IFERROR(__xludf.DUMMYFUNCTION("GOOGLETRANSLATE(E1028, ""zh-CN"", ""en"")"),"Xinfeng County")</f>
        <v>Xinfeng County</v>
      </c>
      <c r="G1028" s="1">
        <v>3.60722E11</v>
      </c>
    </row>
    <row r="1029">
      <c r="A1029" s="1" t="s">
        <v>894</v>
      </c>
      <c r="B1029" s="1" t="str">
        <f>IFERROR(__xludf.DUMMYFUNCTION("GOOGLETRANSLATE(A955, ""zh-CN"", ""en"")"),"Ningxia Hui Autonomous Region")</f>
        <v>Ningxia Hui Autonomous Region</v>
      </c>
      <c r="C1029" s="1" t="s">
        <v>901</v>
      </c>
      <c r="D1029" s="1" t="str">
        <f>IFERROR(__xludf.DUMMYFUNCTION("GOOGLETRANSLATE(C1029, ""zh-CN"", ""en"")"),"Ganzhou City")</f>
        <v>Ganzhou City</v>
      </c>
      <c r="E1029" s="1" t="s">
        <v>945</v>
      </c>
      <c r="F1029" s="1" t="str">
        <f>IFERROR(__xludf.DUMMYFUNCTION("GOOGLETRANSLATE(E1029, ""zh-CN"", ""en"")"),"Dabu County")</f>
        <v>Dabu County</v>
      </c>
      <c r="G1029" s="1">
        <v>3.60723E11</v>
      </c>
    </row>
    <row r="1030">
      <c r="A1030" s="1" t="s">
        <v>894</v>
      </c>
      <c r="B1030" s="1" t="str">
        <f>IFERROR(__xludf.DUMMYFUNCTION("GOOGLETRANSLATE(A956, ""zh-CN"", ""en"")"),"Ningxia Hui Autonomous Region")</f>
        <v>Ningxia Hui Autonomous Region</v>
      </c>
      <c r="C1030" s="1" t="s">
        <v>901</v>
      </c>
      <c r="D1030" s="1" t="str">
        <f>IFERROR(__xludf.DUMMYFUNCTION("GOOGLETRANSLATE(C1030, ""zh-CN"", ""en"")"),"Ganzhou City")</f>
        <v>Ganzhou City</v>
      </c>
      <c r="E1030" s="1" t="s">
        <v>946</v>
      </c>
      <c r="F1030" s="1" t="str">
        <f>IFERROR(__xludf.DUMMYFUNCTION("GOOGLETRANSLATE(E1030, ""zh-CN"", ""en"")"),"Shangshang County")</f>
        <v>Shangshang County</v>
      </c>
      <c r="G1030" s="1">
        <v>3.60724E11</v>
      </c>
    </row>
    <row r="1031">
      <c r="A1031" s="1" t="s">
        <v>894</v>
      </c>
      <c r="B1031" s="1" t="str">
        <f>IFERROR(__xludf.DUMMYFUNCTION("GOOGLETRANSLATE(A957, ""zh-CN"", ""en"")"),"Ningxia Hui Autonomous Region")</f>
        <v>Ningxia Hui Autonomous Region</v>
      </c>
      <c r="C1031" s="1" t="s">
        <v>901</v>
      </c>
      <c r="D1031" s="1" t="str">
        <f>IFERROR(__xludf.DUMMYFUNCTION("GOOGLETRANSLATE(C1031, ""zh-CN"", ""en"")"),"Ganzhou City")</f>
        <v>Ganzhou City</v>
      </c>
      <c r="E1031" s="1" t="s">
        <v>947</v>
      </c>
      <c r="F1031" s="1" t="str">
        <f>IFERROR(__xludf.DUMMYFUNCTION("GOOGLETRANSLATE(E1031, ""zh-CN"", ""en"")"),"Chongyi County")</f>
        <v>Chongyi County</v>
      </c>
      <c r="G1031" s="1">
        <v>3.60725E11</v>
      </c>
    </row>
    <row r="1032">
      <c r="A1032" s="1" t="s">
        <v>894</v>
      </c>
      <c r="B1032" s="1" t="str">
        <f>IFERROR(__xludf.DUMMYFUNCTION("GOOGLETRANSLATE(A958, ""zh-CN"", ""en"")"),"Ningxia Hui Autonomous Region")</f>
        <v>Ningxia Hui Autonomous Region</v>
      </c>
      <c r="C1032" s="1" t="s">
        <v>901</v>
      </c>
      <c r="D1032" s="1" t="str">
        <f>IFERROR(__xludf.DUMMYFUNCTION("GOOGLETRANSLATE(C1032, ""zh-CN"", ""en"")"),"Ganzhou City")</f>
        <v>Ganzhou City</v>
      </c>
      <c r="E1032" s="1" t="s">
        <v>948</v>
      </c>
      <c r="F1032" s="1" t="str">
        <f>IFERROR(__xludf.DUMMYFUNCTION("GOOGLETRANSLATE(E1032, ""zh-CN"", ""en"")"),"Anyuan County")</f>
        <v>Anyuan County</v>
      </c>
      <c r="G1032" s="1">
        <v>3.60726E11</v>
      </c>
    </row>
    <row r="1033">
      <c r="A1033" s="1" t="s">
        <v>894</v>
      </c>
      <c r="B1033" s="1" t="str">
        <f>IFERROR(__xludf.DUMMYFUNCTION("GOOGLETRANSLATE(A959, ""zh-CN"", ""en"")"),"Ningxia Hui Autonomous Region")</f>
        <v>Ningxia Hui Autonomous Region</v>
      </c>
      <c r="C1033" s="1" t="s">
        <v>901</v>
      </c>
      <c r="D1033" s="1" t="str">
        <f>IFERROR(__xludf.DUMMYFUNCTION("GOOGLETRANSLATE(C1033, ""zh-CN"", ""en"")"),"Ganzhou City")</f>
        <v>Ganzhou City</v>
      </c>
      <c r="E1033" s="1" t="s">
        <v>949</v>
      </c>
      <c r="F1033" s="1" t="str">
        <f>IFERROR(__xludf.DUMMYFUNCTION("GOOGLETRANSLATE(E1033, ""zh-CN"", ""en"")"),"Dingnan County")</f>
        <v>Dingnan County</v>
      </c>
      <c r="G1033" s="1">
        <v>3.60728E11</v>
      </c>
    </row>
    <row r="1034">
      <c r="A1034" s="1" t="s">
        <v>894</v>
      </c>
      <c r="B1034" s="1" t="str">
        <f>IFERROR(__xludf.DUMMYFUNCTION("GOOGLETRANSLATE(A960, ""zh-CN"", ""en"")"),"Ningxia Hui Autonomous Region")</f>
        <v>Ningxia Hui Autonomous Region</v>
      </c>
      <c r="C1034" s="1" t="s">
        <v>901</v>
      </c>
      <c r="D1034" s="1" t="str">
        <f>IFERROR(__xludf.DUMMYFUNCTION("GOOGLETRANSLATE(C1034, ""zh-CN"", ""en"")"),"Ganzhou City")</f>
        <v>Ganzhou City</v>
      </c>
      <c r="E1034" s="1" t="s">
        <v>950</v>
      </c>
      <c r="F1034" s="1" t="str">
        <f>IFERROR(__xludf.DUMMYFUNCTION("GOOGLETRANSLATE(E1034, ""zh-CN"", ""en"")"),"All over the south county")</f>
        <v>All over the south county</v>
      </c>
      <c r="G1034" s="1">
        <v>3.60729E11</v>
      </c>
    </row>
    <row r="1035">
      <c r="A1035" s="1" t="s">
        <v>894</v>
      </c>
      <c r="B1035" s="1" t="str">
        <f>IFERROR(__xludf.DUMMYFUNCTION("GOOGLETRANSLATE(A961, ""zh-CN"", ""en"")"),"Ningxia Hui Autonomous Region")</f>
        <v>Ningxia Hui Autonomous Region</v>
      </c>
      <c r="C1035" s="1" t="s">
        <v>901</v>
      </c>
      <c r="D1035" s="1" t="str">
        <f>IFERROR(__xludf.DUMMYFUNCTION("GOOGLETRANSLATE(C1035, ""zh-CN"", ""en"")"),"Ganzhou City")</f>
        <v>Ganzhou City</v>
      </c>
      <c r="E1035" s="1" t="s">
        <v>951</v>
      </c>
      <c r="F1035" s="1" t="str">
        <f>IFERROR(__xludf.DUMMYFUNCTION("GOOGLETRANSLATE(E1035, ""zh-CN"", ""en"")"),"Ningdu County")</f>
        <v>Ningdu County</v>
      </c>
      <c r="G1035" s="1">
        <v>3.6073E11</v>
      </c>
    </row>
    <row r="1036">
      <c r="A1036" s="1" t="s">
        <v>894</v>
      </c>
      <c r="B1036" s="1" t="str">
        <f>IFERROR(__xludf.DUMMYFUNCTION("GOOGLETRANSLATE(A962, ""zh-CN"", ""en"")"),"Ningxia Hui Autonomous Region")</f>
        <v>Ningxia Hui Autonomous Region</v>
      </c>
      <c r="C1036" s="1" t="s">
        <v>901</v>
      </c>
      <c r="D1036" s="1" t="str">
        <f>IFERROR(__xludf.DUMMYFUNCTION("GOOGLETRANSLATE(C1036, ""zh-CN"", ""en"")"),"Ganzhou City")</f>
        <v>Ganzhou City</v>
      </c>
      <c r="E1036" s="1" t="s">
        <v>952</v>
      </c>
      <c r="F1036" s="1" t="str">
        <f>IFERROR(__xludf.DUMMYFUNCTION("GOOGLETRANSLATE(E1036, ""zh-CN"", ""en"")"),"Yudu County")</f>
        <v>Yudu County</v>
      </c>
      <c r="G1036" s="1">
        <v>3.60731E11</v>
      </c>
    </row>
    <row r="1037">
      <c r="A1037" s="1" t="s">
        <v>894</v>
      </c>
      <c r="B1037" s="1" t="str">
        <f>IFERROR(__xludf.DUMMYFUNCTION("GOOGLETRANSLATE(A963, ""zh-CN"", ""en"")"),"Ningxia Hui Autonomous Region")</f>
        <v>Ningxia Hui Autonomous Region</v>
      </c>
      <c r="C1037" s="1" t="s">
        <v>901</v>
      </c>
      <c r="D1037" s="1" t="str">
        <f>IFERROR(__xludf.DUMMYFUNCTION("GOOGLETRANSLATE(C1037, ""zh-CN"", ""en"")"),"Ganzhou City")</f>
        <v>Ganzhou City</v>
      </c>
      <c r="E1037" s="1" t="s">
        <v>953</v>
      </c>
      <c r="F1037" s="1" t="str">
        <f>IFERROR(__xludf.DUMMYFUNCTION("GOOGLETRANSLATE(E1037, ""zh-CN"", ""en"")"),"Xingguo County")</f>
        <v>Xingguo County</v>
      </c>
      <c r="G1037" s="1">
        <v>3.60732E11</v>
      </c>
    </row>
    <row r="1038">
      <c r="A1038" s="1" t="s">
        <v>894</v>
      </c>
      <c r="B1038" s="1" t="str">
        <f>IFERROR(__xludf.DUMMYFUNCTION("GOOGLETRANSLATE(A964, ""zh-CN"", ""en"")"),"Ningxia Hui Autonomous Region")</f>
        <v>Ningxia Hui Autonomous Region</v>
      </c>
      <c r="C1038" s="1" t="s">
        <v>901</v>
      </c>
      <c r="D1038" s="1" t="str">
        <f>IFERROR(__xludf.DUMMYFUNCTION("GOOGLETRANSLATE(C1038, ""zh-CN"", ""en"")"),"Ganzhou City")</f>
        <v>Ganzhou City</v>
      </c>
      <c r="E1038" s="1" t="s">
        <v>954</v>
      </c>
      <c r="F1038" s="1" t="str">
        <f>IFERROR(__xludf.DUMMYFUNCTION("GOOGLETRANSLATE(E1038, ""zh-CN"", ""en"")"),"Huichang County")</f>
        <v>Huichang County</v>
      </c>
      <c r="G1038" s="1">
        <v>3.60733E11</v>
      </c>
    </row>
    <row r="1039">
      <c r="A1039" s="1" t="s">
        <v>894</v>
      </c>
      <c r="B1039" s="1" t="str">
        <f>IFERROR(__xludf.DUMMYFUNCTION("GOOGLETRANSLATE(A965, ""zh-CN"", ""en"")"),"Ningxia Hui Autonomous Region")</f>
        <v>Ningxia Hui Autonomous Region</v>
      </c>
      <c r="C1039" s="1" t="s">
        <v>901</v>
      </c>
      <c r="D1039" s="1" t="str">
        <f>IFERROR(__xludf.DUMMYFUNCTION("GOOGLETRANSLATE(C1039, ""zh-CN"", ""en"")"),"Ganzhou City")</f>
        <v>Ganzhou City</v>
      </c>
      <c r="E1039" s="1" t="s">
        <v>955</v>
      </c>
      <c r="F1039" s="1" t="str">
        <f>IFERROR(__xludf.DUMMYFUNCTION("GOOGLETRANSLATE(E1039, ""zh-CN"", ""en"")"),"Xunwu County")</f>
        <v>Xunwu County</v>
      </c>
      <c r="G1039" s="1">
        <v>3.60734E11</v>
      </c>
    </row>
    <row r="1040">
      <c r="A1040" s="1" t="s">
        <v>894</v>
      </c>
      <c r="B1040" s="1" t="str">
        <f>IFERROR(__xludf.DUMMYFUNCTION("GOOGLETRANSLATE(A966, ""zh-CN"", ""en"")"),"Ningxia Hui Autonomous Region")</f>
        <v>Ningxia Hui Autonomous Region</v>
      </c>
      <c r="C1040" s="1" t="s">
        <v>901</v>
      </c>
      <c r="D1040" s="1" t="str">
        <f>IFERROR(__xludf.DUMMYFUNCTION("GOOGLETRANSLATE(C1040, ""zh-CN"", ""en"")"),"Ganzhou City")</f>
        <v>Ganzhou City</v>
      </c>
      <c r="E1040" s="1" t="s">
        <v>956</v>
      </c>
      <c r="F1040" s="1" t="str">
        <f>IFERROR(__xludf.DUMMYFUNCTION("GOOGLETRANSLATE(E1040, ""zh-CN"", ""en"")"),"Shicheng County")</f>
        <v>Shicheng County</v>
      </c>
      <c r="G1040" s="1">
        <v>3.60735E11</v>
      </c>
    </row>
    <row r="1041">
      <c r="A1041" s="1" t="s">
        <v>894</v>
      </c>
      <c r="B1041" s="1" t="str">
        <f>IFERROR(__xludf.DUMMYFUNCTION("GOOGLETRANSLATE(A967, ""zh-CN"", ""en"")"),"Ningxia Hui Autonomous Region")</f>
        <v>Ningxia Hui Autonomous Region</v>
      </c>
      <c r="C1041" s="1" t="s">
        <v>901</v>
      </c>
      <c r="D1041" s="1" t="str">
        <f>IFERROR(__xludf.DUMMYFUNCTION("GOOGLETRANSLATE(C1041, ""zh-CN"", ""en"")"),"Ganzhou City")</f>
        <v>Ganzhou City</v>
      </c>
      <c r="E1041" s="1" t="s">
        <v>957</v>
      </c>
      <c r="F1041" s="1" t="str">
        <f>IFERROR(__xludf.DUMMYFUNCTION("GOOGLETRANSLATE(E1041, ""zh-CN"", ""en"")"),"Ruijin City")</f>
        <v>Ruijin City</v>
      </c>
      <c r="G1041" s="1">
        <v>3.60781E11</v>
      </c>
    </row>
    <row r="1042">
      <c r="A1042" s="1" t="s">
        <v>894</v>
      </c>
      <c r="B1042" s="1" t="str">
        <f>IFERROR(__xludf.DUMMYFUNCTION("GOOGLETRANSLATE(A968, ""zh-CN"", ""en"")"),"Ningxia Hui Autonomous Region")</f>
        <v>Ningxia Hui Autonomous Region</v>
      </c>
      <c r="C1042" s="1" t="s">
        <v>901</v>
      </c>
      <c r="D1042" s="1" t="str">
        <f>IFERROR(__xludf.DUMMYFUNCTION("GOOGLETRANSLATE(C1042, ""zh-CN"", ""en"")"),"Ganzhou City")</f>
        <v>Ganzhou City</v>
      </c>
      <c r="E1042" s="1" t="s">
        <v>958</v>
      </c>
      <c r="F1042" s="1" t="str">
        <f>IFERROR(__xludf.DUMMYFUNCTION("GOOGLETRANSLATE(E1042, ""zh-CN"", ""en"")"),"Longnan City")</f>
        <v>Longnan City</v>
      </c>
      <c r="G1042" s="1">
        <v>3.60783E11</v>
      </c>
    </row>
    <row r="1043">
      <c r="A1043" s="1" t="s">
        <v>894</v>
      </c>
      <c r="B1043" s="1" t="str">
        <f>IFERROR(__xludf.DUMMYFUNCTION("GOOGLETRANSLATE(A969, ""zh-CN"", ""en"")"),"Ningxia Hui Autonomous Region")</f>
        <v>Ningxia Hui Autonomous Region</v>
      </c>
      <c r="C1043" s="1" t="s">
        <v>902</v>
      </c>
      <c r="D1043" s="1" t="str">
        <f>IFERROR(__xludf.DUMMYFUNCTION("GOOGLETRANSLATE(C1043, ""zh-CN"", ""en"")"),"Ji'an City")</f>
        <v>Ji'an City</v>
      </c>
      <c r="E1043" s="1" t="s">
        <v>24</v>
      </c>
      <c r="F1043" s="1" t="str">
        <f>IFERROR(__xludf.DUMMYFUNCTION("GOOGLETRANSLATE(E1043, ""zh-CN"", ""en"")"),"City area")</f>
        <v>City area</v>
      </c>
      <c r="G1043" s="1">
        <v>3.60801E11</v>
      </c>
    </row>
    <row r="1044">
      <c r="A1044" s="1" t="s">
        <v>894</v>
      </c>
      <c r="B1044" s="1" t="str">
        <f>IFERROR(__xludf.DUMMYFUNCTION("GOOGLETRANSLATE(A970, ""zh-CN"", ""en"")"),"Jiangxi Province")</f>
        <v>Jiangxi Province</v>
      </c>
      <c r="C1044" s="1" t="s">
        <v>902</v>
      </c>
      <c r="D1044" s="1" t="str">
        <f>IFERROR(__xludf.DUMMYFUNCTION("GOOGLETRANSLATE(C1044, ""zh-CN"", ""en"")"),"Ji'an City")</f>
        <v>Ji'an City</v>
      </c>
      <c r="E1044" s="1" t="s">
        <v>959</v>
      </c>
      <c r="F1044" s="1" t="str">
        <f>IFERROR(__xludf.DUMMYFUNCTION("GOOGLETRANSLATE(E1044, ""zh-CN"", ""en"")"),"Jizhou District")</f>
        <v>Jizhou District</v>
      </c>
      <c r="G1044" s="1">
        <v>3.60802E11</v>
      </c>
    </row>
    <row r="1045">
      <c r="A1045" s="1" t="s">
        <v>894</v>
      </c>
      <c r="B1045" s="1" t="str">
        <f>IFERROR(__xludf.DUMMYFUNCTION("GOOGLETRANSLATE(A971, ""zh-CN"", ""en"")"),"Jiangxi Province")</f>
        <v>Jiangxi Province</v>
      </c>
      <c r="C1045" s="1" t="s">
        <v>902</v>
      </c>
      <c r="D1045" s="1" t="str">
        <f>IFERROR(__xludf.DUMMYFUNCTION("GOOGLETRANSLATE(C1045, ""zh-CN"", ""en"")"),"Ji'an City")</f>
        <v>Ji'an City</v>
      </c>
      <c r="E1045" s="1" t="s">
        <v>960</v>
      </c>
      <c r="F1045" s="1" t="str">
        <f>IFERROR(__xludf.DUMMYFUNCTION("GOOGLETRANSLATE(E1045, ""zh-CN"", ""en"")"),"Qingyuan District")</f>
        <v>Qingyuan District</v>
      </c>
      <c r="G1045" s="1">
        <v>3.60803E11</v>
      </c>
    </row>
    <row r="1046">
      <c r="A1046" s="1" t="s">
        <v>894</v>
      </c>
      <c r="B1046" s="1" t="str">
        <f>IFERROR(__xludf.DUMMYFUNCTION("GOOGLETRANSLATE(A972, ""zh-CN"", ""en"")"),"Jiangxi Province")</f>
        <v>Jiangxi Province</v>
      </c>
      <c r="C1046" s="1" t="s">
        <v>902</v>
      </c>
      <c r="D1046" s="1" t="str">
        <f>IFERROR(__xludf.DUMMYFUNCTION("GOOGLETRANSLATE(C1046, ""zh-CN"", ""en"")"),"Ji'an City")</f>
        <v>Ji'an City</v>
      </c>
      <c r="E1046" s="1" t="s">
        <v>961</v>
      </c>
      <c r="F1046" s="1" t="str">
        <f>IFERROR(__xludf.DUMMYFUNCTION("GOOGLETRANSLATE(E1046, ""zh-CN"", ""en"")"),"Ji'an County")</f>
        <v>Ji'an County</v>
      </c>
      <c r="G1046" s="1">
        <v>3.60821E11</v>
      </c>
    </row>
    <row r="1047">
      <c r="A1047" s="1" t="s">
        <v>894</v>
      </c>
      <c r="B1047" s="1" t="str">
        <f>IFERROR(__xludf.DUMMYFUNCTION("GOOGLETRANSLATE(A973, ""zh-CN"", ""en"")"),"Jiangxi Province")</f>
        <v>Jiangxi Province</v>
      </c>
      <c r="C1047" s="1" t="s">
        <v>902</v>
      </c>
      <c r="D1047" s="1" t="str">
        <f>IFERROR(__xludf.DUMMYFUNCTION("GOOGLETRANSLATE(C1047, ""zh-CN"", ""en"")"),"Ji'an City")</f>
        <v>Ji'an City</v>
      </c>
      <c r="E1047" s="1" t="s">
        <v>962</v>
      </c>
      <c r="F1047" s="1" t="str">
        <f>IFERROR(__xludf.DUMMYFUNCTION("GOOGLETRANSLATE(E1047, ""zh-CN"", ""en"")"),"Jishui County")</f>
        <v>Jishui County</v>
      </c>
      <c r="G1047" s="1">
        <v>3.60822E11</v>
      </c>
    </row>
    <row r="1048">
      <c r="A1048" s="1" t="s">
        <v>894</v>
      </c>
      <c r="B1048" s="1" t="str">
        <f>IFERROR(__xludf.DUMMYFUNCTION("GOOGLETRANSLATE(A974, ""zh-CN"", ""en"")"),"Jiangxi Province")</f>
        <v>Jiangxi Province</v>
      </c>
      <c r="C1048" s="1" t="s">
        <v>902</v>
      </c>
      <c r="D1048" s="1" t="str">
        <f>IFERROR(__xludf.DUMMYFUNCTION("GOOGLETRANSLATE(C1048, ""zh-CN"", ""en"")"),"Ji'an City")</f>
        <v>Ji'an City</v>
      </c>
      <c r="E1048" s="1" t="s">
        <v>963</v>
      </c>
      <c r="F1048" s="1" t="str">
        <f>IFERROR(__xludf.DUMMYFUNCTION("GOOGLETRANSLATE(E1048, ""zh-CN"", ""en"")"),"Xiangjiang County")</f>
        <v>Xiangjiang County</v>
      </c>
      <c r="G1048" s="1">
        <v>3.60823E11</v>
      </c>
    </row>
    <row r="1049">
      <c r="A1049" s="1" t="s">
        <v>894</v>
      </c>
      <c r="B1049" s="1" t="str">
        <f>IFERROR(__xludf.DUMMYFUNCTION("GOOGLETRANSLATE(A975, ""zh-CN"", ""en"")"),"Jiangxi Province")</f>
        <v>Jiangxi Province</v>
      </c>
      <c r="C1049" s="1" t="s">
        <v>902</v>
      </c>
      <c r="D1049" s="1" t="str">
        <f>IFERROR(__xludf.DUMMYFUNCTION("GOOGLETRANSLATE(C1049, ""zh-CN"", ""en"")"),"Ji'an City")</f>
        <v>Ji'an City</v>
      </c>
      <c r="E1049" s="1" t="s">
        <v>964</v>
      </c>
      <c r="F1049" s="1" t="str">
        <f>IFERROR(__xludf.DUMMYFUNCTION("GOOGLETRANSLATE(E1049, ""zh-CN"", ""en"")"),"Xingan County")</f>
        <v>Xingan County</v>
      </c>
      <c r="G1049" s="1">
        <v>3.60824E11</v>
      </c>
    </row>
    <row r="1050">
      <c r="A1050" s="1" t="s">
        <v>894</v>
      </c>
      <c r="B1050" s="1" t="str">
        <f>IFERROR(__xludf.DUMMYFUNCTION("GOOGLETRANSLATE(A976, ""zh-CN"", ""en"")"),"Jiangxi Province")</f>
        <v>Jiangxi Province</v>
      </c>
      <c r="C1050" s="1" t="s">
        <v>902</v>
      </c>
      <c r="D1050" s="1" t="str">
        <f>IFERROR(__xludf.DUMMYFUNCTION("GOOGLETRANSLATE(C1050, ""zh-CN"", ""en"")"),"Ji'an City")</f>
        <v>Ji'an City</v>
      </c>
      <c r="E1050" s="1" t="s">
        <v>965</v>
      </c>
      <c r="F1050" s="1" t="str">
        <f>IFERROR(__xludf.DUMMYFUNCTION("GOOGLETRANSLATE(E1050, ""zh-CN"", ""en"")"),"Yongfeng County")</f>
        <v>Yongfeng County</v>
      </c>
      <c r="G1050" s="1">
        <v>3.60825E11</v>
      </c>
    </row>
    <row r="1051">
      <c r="A1051" s="1" t="s">
        <v>894</v>
      </c>
      <c r="B1051" s="1" t="str">
        <f>IFERROR(__xludf.DUMMYFUNCTION("GOOGLETRANSLATE(A977, ""zh-CN"", ""en"")"),"Jiangxi Province")</f>
        <v>Jiangxi Province</v>
      </c>
      <c r="C1051" s="1" t="s">
        <v>902</v>
      </c>
      <c r="D1051" s="1" t="str">
        <f>IFERROR(__xludf.DUMMYFUNCTION("GOOGLETRANSLATE(C1051, ""zh-CN"", ""en"")"),"Ji'an City")</f>
        <v>Ji'an City</v>
      </c>
      <c r="E1051" s="1" t="s">
        <v>966</v>
      </c>
      <c r="F1051" s="1" t="str">
        <f>IFERROR(__xludf.DUMMYFUNCTION("GOOGLETRANSLATE(E1051, ""zh-CN"", ""en"")"),"Taihe County")</f>
        <v>Taihe County</v>
      </c>
      <c r="G1051" s="1">
        <v>3.60826E11</v>
      </c>
    </row>
    <row r="1052">
      <c r="A1052" s="1" t="s">
        <v>894</v>
      </c>
      <c r="B1052" s="1" t="str">
        <f>IFERROR(__xludf.DUMMYFUNCTION("GOOGLETRANSLATE(A978, ""zh-CN"", ""en"")"),"Jiangxi Province")</f>
        <v>Jiangxi Province</v>
      </c>
      <c r="C1052" s="1" t="s">
        <v>902</v>
      </c>
      <c r="D1052" s="1" t="str">
        <f>IFERROR(__xludf.DUMMYFUNCTION("GOOGLETRANSLATE(C1052, ""zh-CN"", ""en"")"),"Ji'an City")</f>
        <v>Ji'an City</v>
      </c>
      <c r="E1052" s="1" t="s">
        <v>967</v>
      </c>
      <c r="F1052" s="1" t="str">
        <f>IFERROR(__xludf.DUMMYFUNCTION("GOOGLETRANSLATE(E1052, ""zh-CN"", ""en"")"),"Suichuan County")</f>
        <v>Suichuan County</v>
      </c>
      <c r="G1052" s="1">
        <v>3.60827E11</v>
      </c>
    </row>
    <row r="1053">
      <c r="A1053" s="1" t="s">
        <v>894</v>
      </c>
      <c r="B1053" s="1" t="str">
        <f>IFERROR(__xludf.DUMMYFUNCTION("GOOGLETRANSLATE(A979, ""zh-CN"", ""en"")"),"Jiangxi Province")</f>
        <v>Jiangxi Province</v>
      </c>
      <c r="C1053" s="1" t="s">
        <v>902</v>
      </c>
      <c r="D1053" s="1" t="str">
        <f>IFERROR(__xludf.DUMMYFUNCTION("GOOGLETRANSLATE(C1053, ""zh-CN"", ""en"")"),"Ji'an City")</f>
        <v>Ji'an City</v>
      </c>
      <c r="E1053" s="1" t="s">
        <v>968</v>
      </c>
      <c r="F1053" s="1" t="str">
        <f>IFERROR(__xludf.DUMMYFUNCTION("GOOGLETRANSLATE(E1053, ""zh-CN"", ""en"")"),"Wan'an County")</f>
        <v>Wan'an County</v>
      </c>
      <c r="G1053" s="1">
        <v>3.60828E11</v>
      </c>
    </row>
    <row r="1054">
      <c r="A1054" s="1" t="s">
        <v>894</v>
      </c>
      <c r="B1054" s="1" t="str">
        <f>IFERROR(__xludf.DUMMYFUNCTION("GOOGLETRANSLATE(A980, ""zh-CN"", ""en"")"),"Jiangxi Province")</f>
        <v>Jiangxi Province</v>
      </c>
      <c r="C1054" s="1" t="s">
        <v>902</v>
      </c>
      <c r="D1054" s="1" t="str">
        <f>IFERROR(__xludf.DUMMYFUNCTION("GOOGLETRANSLATE(C1054, ""zh-CN"", ""en"")"),"Ji'an City")</f>
        <v>Ji'an City</v>
      </c>
      <c r="E1054" s="1" t="s">
        <v>969</v>
      </c>
      <c r="F1054" s="1" t="str">
        <f>IFERROR(__xludf.DUMMYFUNCTION("GOOGLETRANSLATE(E1054, ""zh-CN"", ""en"")"),"Anfu County")</f>
        <v>Anfu County</v>
      </c>
      <c r="G1054" s="1">
        <v>3.60829E11</v>
      </c>
    </row>
    <row r="1055">
      <c r="A1055" s="1" t="s">
        <v>894</v>
      </c>
      <c r="B1055" s="1" t="str">
        <f>IFERROR(__xludf.DUMMYFUNCTION("GOOGLETRANSLATE(A981, ""zh-CN"", ""en"")"),"Jiangxi Province")</f>
        <v>Jiangxi Province</v>
      </c>
      <c r="C1055" s="1" t="s">
        <v>902</v>
      </c>
      <c r="D1055" s="1" t="str">
        <f>IFERROR(__xludf.DUMMYFUNCTION("GOOGLETRANSLATE(C1055, ""zh-CN"", ""en"")"),"Ji'an City")</f>
        <v>Ji'an City</v>
      </c>
      <c r="E1055" s="1" t="s">
        <v>970</v>
      </c>
      <c r="F1055" s="1" t="str">
        <f>IFERROR(__xludf.DUMMYFUNCTION("GOOGLETRANSLATE(E1055, ""zh-CN"", ""en"")"),"Yongxin County")</f>
        <v>Yongxin County</v>
      </c>
      <c r="G1055" s="1">
        <v>3.6083E11</v>
      </c>
    </row>
    <row r="1056">
      <c r="A1056" s="1" t="s">
        <v>894</v>
      </c>
      <c r="B1056" s="1" t="str">
        <f>IFERROR(__xludf.DUMMYFUNCTION("GOOGLETRANSLATE(A982, ""zh-CN"", ""en"")"),"Jiangxi Province")</f>
        <v>Jiangxi Province</v>
      </c>
      <c r="C1056" s="1" t="s">
        <v>902</v>
      </c>
      <c r="D1056" s="1" t="str">
        <f>IFERROR(__xludf.DUMMYFUNCTION("GOOGLETRANSLATE(C1056, ""zh-CN"", ""en"")"),"Ji'an City")</f>
        <v>Ji'an City</v>
      </c>
      <c r="E1056" s="1" t="s">
        <v>971</v>
      </c>
      <c r="F1056" s="1" t="str">
        <f>IFERROR(__xludf.DUMMYFUNCTION("GOOGLETRANSLATE(E1056, ""zh-CN"", ""en"")"),"Jinggangshan City")</f>
        <v>Jinggangshan City</v>
      </c>
      <c r="G1056" s="1">
        <v>3.60881E11</v>
      </c>
    </row>
    <row r="1057">
      <c r="A1057" s="1" t="s">
        <v>894</v>
      </c>
      <c r="B1057" s="1" t="str">
        <f>IFERROR(__xludf.DUMMYFUNCTION("GOOGLETRANSLATE(A983, ""zh-CN"", ""en"")"),"Jiangxi Province")</f>
        <v>Jiangxi Province</v>
      </c>
      <c r="C1057" s="1" t="s">
        <v>903</v>
      </c>
      <c r="D1057" s="1" t="str">
        <f>IFERROR(__xludf.DUMMYFUNCTION("GOOGLETRANSLATE(C1057, ""zh-CN"", ""en"")"),"Yichun City")</f>
        <v>Yichun City</v>
      </c>
      <c r="E1057" s="1" t="s">
        <v>24</v>
      </c>
      <c r="F1057" s="1" t="str">
        <f>IFERROR(__xludf.DUMMYFUNCTION("GOOGLETRANSLATE(E1057, ""zh-CN"", ""en"")"),"City area")</f>
        <v>City area</v>
      </c>
      <c r="G1057" s="1">
        <v>3.60901E11</v>
      </c>
    </row>
    <row r="1058">
      <c r="A1058" s="1" t="s">
        <v>894</v>
      </c>
      <c r="B1058" s="1" t="str">
        <f>IFERROR(__xludf.DUMMYFUNCTION("GOOGLETRANSLATE(A984, ""zh-CN"", ""en"")"),"Jiangxi Province")</f>
        <v>Jiangxi Province</v>
      </c>
      <c r="C1058" s="1" t="s">
        <v>903</v>
      </c>
      <c r="D1058" s="1" t="str">
        <f>IFERROR(__xludf.DUMMYFUNCTION("GOOGLETRANSLATE(C1058, ""zh-CN"", ""en"")"),"Yichun City")</f>
        <v>Yichun City</v>
      </c>
      <c r="E1058" s="1" t="s">
        <v>972</v>
      </c>
      <c r="F1058" s="1" t="str">
        <f>IFERROR(__xludf.DUMMYFUNCTION("GOOGLETRANSLATE(E1058, ""zh-CN"", ""en"")"),"Yuanzhou District")</f>
        <v>Yuanzhou District</v>
      </c>
      <c r="G1058" s="1">
        <v>3.60902E11</v>
      </c>
    </row>
    <row r="1059">
      <c r="A1059" s="1" t="s">
        <v>894</v>
      </c>
      <c r="B1059" s="1" t="str">
        <f>IFERROR(__xludf.DUMMYFUNCTION("GOOGLETRANSLATE(A985, ""zh-CN"", ""en"")"),"Jiangxi Province")</f>
        <v>Jiangxi Province</v>
      </c>
      <c r="C1059" s="1" t="s">
        <v>903</v>
      </c>
      <c r="D1059" s="1" t="str">
        <f>IFERROR(__xludf.DUMMYFUNCTION("GOOGLETRANSLATE(C1059, ""zh-CN"", ""en"")"),"Yichun City")</f>
        <v>Yichun City</v>
      </c>
      <c r="E1059" s="1" t="s">
        <v>973</v>
      </c>
      <c r="F1059" s="1" t="str">
        <f>IFERROR(__xludf.DUMMYFUNCTION("GOOGLETRANSLATE(E1059, ""zh-CN"", ""en"")"),"Fengxin County")</f>
        <v>Fengxin County</v>
      </c>
      <c r="G1059" s="1">
        <v>3.60921E11</v>
      </c>
    </row>
    <row r="1060">
      <c r="A1060" s="1" t="s">
        <v>894</v>
      </c>
      <c r="B1060" s="1" t="str">
        <f>IFERROR(__xludf.DUMMYFUNCTION("GOOGLETRANSLATE(A986, ""zh-CN"", ""en"")"),"Jiangxi Province")</f>
        <v>Jiangxi Province</v>
      </c>
      <c r="C1060" s="1" t="s">
        <v>903</v>
      </c>
      <c r="D1060" s="1" t="str">
        <f>IFERROR(__xludf.DUMMYFUNCTION("GOOGLETRANSLATE(C1060, ""zh-CN"", ""en"")"),"Yichun City")</f>
        <v>Yichun City</v>
      </c>
      <c r="E1060" s="1" t="s">
        <v>974</v>
      </c>
      <c r="F1060" s="1" t="str">
        <f>IFERROR(__xludf.DUMMYFUNCTION("GOOGLETRANSLATE(E1060, ""zh-CN"", ""en"")"),"Wanzai County")</f>
        <v>Wanzai County</v>
      </c>
      <c r="G1060" s="1">
        <v>3.60922E11</v>
      </c>
    </row>
    <row r="1061">
      <c r="A1061" s="1" t="s">
        <v>894</v>
      </c>
      <c r="B1061" s="1" t="str">
        <f>IFERROR(__xludf.DUMMYFUNCTION("GOOGLETRANSLATE(A987, ""zh-CN"", ""en"")"),"Jiangxi Province")</f>
        <v>Jiangxi Province</v>
      </c>
      <c r="C1061" s="1" t="s">
        <v>903</v>
      </c>
      <c r="D1061" s="1" t="str">
        <f>IFERROR(__xludf.DUMMYFUNCTION("GOOGLETRANSLATE(C1061, ""zh-CN"", ""en"")"),"Yichun City")</f>
        <v>Yichun City</v>
      </c>
      <c r="E1061" s="1" t="s">
        <v>975</v>
      </c>
      <c r="F1061" s="1" t="str">
        <f>IFERROR(__xludf.DUMMYFUNCTION("GOOGLETRANSLATE(E1061, ""zh-CN"", ""en"")"),"Shanggao County")</f>
        <v>Shanggao County</v>
      </c>
      <c r="G1061" s="1">
        <v>3.60923E11</v>
      </c>
    </row>
    <row r="1062">
      <c r="A1062" s="1" t="s">
        <v>894</v>
      </c>
      <c r="B1062" s="1" t="str">
        <f>IFERROR(__xludf.DUMMYFUNCTION("GOOGLETRANSLATE(A988, ""zh-CN"", ""en"")"),"Jiangxi Province")</f>
        <v>Jiangxi Province</v>
      </c>
      <c r="C1062" s="1" t="s">
        <v>903</v>
      </c>
      <c r="D1062" s="1" t="str">
        <f>IFERROR(__xludf.DUMMYFUNCTION("GOOGLETRANSLATE(C1062, ""zh-CN"", ""en"")"),"Yichun City")</f>
        <v>Yichun City</v>
      </c>
      <c r="E1062" s="1" t="s">
        <v>976</v>
      </c>
      <c r="F1062" s="1" t="str">
        <f>IFERROR(__xludf.DUMMYFUNCTION("GOOGLETRANSLATE(E1062, ""zh-CN"", ""en"")"),"Yifeng County")</f>
        <v>Yifeng County</v>
      </c>
      <c r="G1062" s="1">
        <v>3.60924E11</v>
      </c>
    </row>
    <row r="1063">
      <c r="A1063" s="1" t="s">
        <v>894</v>
      </c>
      <c r="B1063" s="1" t="str">
        <f>IFERROR(__xludf.DUMMYFUNCTION("GOOGLETRANSLATE(A989, ""zh-CN"", ""en"")"),"Jiangxi Province")</f>
        <v>Jiangxi Province</v>
      </c>
      <c r="C1063" s="1" t="s">
        <v>903</v>
      </c>
      <c r="D1063" s="1" t="str">
        <f>IFERROR(__xludf.DUMMYFUNCTION("GOOGLETRANSLATE(C1063, ""zh-CN"", ""en"")"),"Yichun City")</f>
        <v>Yichun City</v>
      </c>
      <c r="E1063" s="1" t="s">
        <v>977</v>
      </c>
      <c r="F1063" s="1" t="str">
        <f>IFERROR(__xludf.DUMMYFUNCTION("GOOGLETRANSLATE(E1063, ""zh-CN"", ""en"")"),"Jing'an County")</f>
        <v>Jing'an County</v>
      </c>
      <c r="G1063" s="1">
        <v>3.60925E11</v>
      </c>
    </row>
    <row r="1064">
      <c r="A1064" s="1" t="s">
        <v>894</v>
      </c>
      <c r="B1064" s="1" t="str">
        <f>IFERROR(__xludf.DUMMYFUNCTION("GOOGLETRANSLATE(A990, ""zh-CN"", ""en"")"),"Jiangxi Province")</f>
        <v>Jiangxi Province</v>
      </c>
      <c r="C1064" s="1" t="s">
        <v>903</v>
      </c>
      <c r="D1064" s="1" t="str">
        <f>IFERROR(__xludf.DUMMYFUNCTION("GOOGLETRANSLATE(C1064, ""zh-CN"", ""en"")"),"Yichun City")</f>
        <v>Yichun City</v>
      </c>
      <c r="E1064" s="1" t="s">
        <v>978</v>
      </c>
      <c r="F1064" s="1" t="str">
        <f>IFERROR(__xludf.DUMMYFUNCTION("GOOGLETRANSLATE(E1064, ""zh-CN"", ""en"")"),"Tonggu County")</f>
        <v>Tonggu County</v>
      </c>
      <c r="G1064" s="1">
        <v>3.60926E11</v>
      </c>
    </row>
    <row r="1065">
      <c r="A1065" s="1" t="s">
        <v>894</v>
      </c>
      <c r="B1065" s="1" t="str">
        <f>IFERROR(__xludf.DUMMYFUNCTION("GOOGLETRANSLATE(A991, ""zh-CN"", ""en"")"),"Jiangxi Province")</f>
        <v>Jiangxi Province</v>
      </c>
      <c r="C1065" s="1" t="s">
        <v>903</v>
      </c>
      <c r="D1065" s="1" t="str">
        <f>IFERROR(__xludf.DUMMYFUNCTION("GOOGLETRANSLATE(C1065, ""zh-CN"", ""en"")"),"Yichun City")</f>
        <v>Yichun City</v>
      </c>
      <c r="E1065" s="1" t="s">
        <v>979</v>
      </c>
      <c r="F1065" s="1" t="str">
        <f>IFERROR(__xludf.DUMMYFUNCTION("GOOGLETRANSLATE(E1065, ""zh-CN"", ""en"")"),"Abundant city")</f>
        <v>Abundant city</v>
      </c>
      <c r="G1065" s="1">
        <v>3.60981E11</v>
      </c>
    </row>
    <row r="1066">
      <c r="A1066" s="1" t="s">
        <v>894</v>
      </c>
      <c r="B1066" s="1" t="str">
        <f>IFERROR(__xludf.DUMMYFUNCTION("GOOGLETRANSLATE(A992, ""zh-CN"", ""en"")"),"Jiangxi Province")</f>
        <v>Jiangxi Province</v>
      </c>
      <c r="C1066" s="1" t="s">
        <v>903</v>
      </c>
      <c r="D1066" s="1" t="str">
        <f>IFERROR(__xludf.DUMMYFUNCTION("GOOGLETRANSLATE(C1066, ""zh-CN"", ""en"")"),"Yichun City")</f>
        <v>Yichun City</v>
      </c>
      <c r="E1066" s="1" t="s">
        <v>980</v>
      </c>
      <c r="F1066" s="1" t="str">
        <f>IFERROR(__xludf.DUMMYFUNCTION("GOOGLETRANSLATE(E1066, ""zh-CN"", ""en"")"),"Camphor")</f>
        <v>Camphor</v>
      </c>
      <c r="G1066" s="1">
        <v>3.60982E11</v>
      </c>
    </row>
    <row r="1067">
      <c r="A1067" s="1" t="s">
        <v>894</v>
      </c>
      <c r="B1067" s="1" t="str">
        <f>IFERROR(__xludf.DUMMYFUNCTION("GOOGLETRANSLATE(A993, ""zh-CN"", ""en"")"),"Jiangxi Province")</f>
        <v>Jiangxi Province</v>
      </c>
      <c r="C1067" s="1" t="s">
        <v>903</v>
      </c>
      <c r="D1067" s="1" t="str">
        <f>IFERROR(__xludf.DUMMYFUNCTION("GOOGLETRANSLATE(C1067, ""zh-CN"", ""en"")"),"Yichun City")</f>
        <v>Yichun City</v>
      </c>
      <c r="E1067" s="1" t="s">
        <v>981</v>
      </c>
      <c r="F1067" s="1" t="str">
        <f>IFERROR(__xludf.DUMMYFUNCTION("GOOGLETRANSLATE(E1067, ""zh-CN"", ""en"")"),"Ga'an City")</f>
        <v>Ga'an City</v>
      </c>
      <c r="G1067" s="1">
        <v>3.60983E11</v>
      </c>
    </row>
    <row r="1068">
      <c r="A1068" s="1" t="s">
        <v>894</v>
      </c>
      <c r="B1068" s="1" t="str">
        <f>IFERROR(__xludf.DUMMYFUNCTION("GOOGLETRANSLATE(A994, ""zh-CN"", ""en"")"),"Jiangxi Province")</f>
        <v>Jiangxi Province</v>
      </c>
      <c r="C1068" s="1" t="s">
        <v>904</v>
      </c>
      <c r="D1068" s="1" t="str">
        <f>IFERROR(__xludf.DUMMYFUNCTION("GOOGLETRANSLATE(C1068, ""zh-CN"", ""en"")"),"Fuzhou")</f>
        <v>Fuzhou</v>
      </c>
      <c r="E1068" s="1" t="s">
        <v>24</v>
      </c>
      <c r="F1068" s="1" t="str">
        <f>IFERROR(__xludf.DUMMYFUNCTION("GOOGLETRANSLATE(E1068, ""zh-CN"", ""en"")"),"City area")</f>
        <v>City area</v>
      </c>
      <c r="G1068" s="1">
        <v>3.61001E11</v>
      </c>
    </row>
    <row r="1069">
      <c r="A1069" s="1" t="s">
        <v>894</v>
      </c>
      <c r="B1069" s="1" t="str">
        <f>IFERROR(__xludf.DUMMYFUNCTION("GOOGLETRANSLATE(A995, ""zh-CN"", ""en"")"),"Jiangxi Province")</f>
        <v>Jiangxi Province</v>
      </c>
      <c r="C1069" s="1" t="s">
        <v>904</v>
      </c>
      <c r="D1069" s="1" t="str">
        <f>IFERROR(__xludf.DUMMYFUNCTION("GOOGLETRANSLATE(C1069, ""zh-CN"", ""en"")"),"Fuzhou")</f>
        <v>Fuzhou</v>
      </c>
      <c r="E1069" s="1" t="s">
        <v>982</v>
      </c>
      <c r="F1069" s="1" t="str">
        <f>IFERROR(__xludf.DUMMYFUNCTION("GOOGLETRANSLATE(E1069, ""zh-CN"", ""en"")"),"Linchuan District")</f>
        <v>Linchuan District</v>
      </c>
      <c r="G1069" s="1">
        <v>3.61002E11</v>
      </c>
    </row>
    <row r="1070">
      <c r="A1070" s="1" t="s">
        <v>894</v>
      </c>
      <c r="B1070" s="1" t="str">
        <f>IFERROR(__xludf.DUMMYFUNCTION("GOOGLETRANSLATE(A996, ""zh-CN"", ""en"")"),"Jiangxi Province")</f>
        <v>Jiangxi Province</v>
      </c>
      <c r="C1070" s="1" t="s">
        <v>904</v>
      </c>
      <c r="D1070" s="1" t="str">
        <f>IFERROR(__xludf.DUMMYFUNCTION("GOOGLETRANSLATE(C1070, ""zh-CN"", ""en"")"),"Fuzhou")</f>
        <v>Fuzhou</v>
      </c>
      <c r="E1070" s="1" t="s">
        <v>983</v>
      </c>
      <c r="F1070" s="1" t="str">
        <f>IFERROR(__xludf.DUMMYFUNCTION("GOOGLETRANSLATE(E1070, ""zh-CN"", ""en"")"),"Dongxiang District")</f>
        <v>Dongxiang District</v>
      </c>
      <c r="G1070" s="1">
        <v>3.61003E11</v>
      </c>
    </row>
    <row r="1071">
      <c r="A1071" s="1" t="s">
        <v>894</v>
      </c>
      <c r="B1071" s="1" t="str">
        <f>IFERROR(__xludf.DUMMYFUNCTION("GOOGLETRANSLATE(A997, ""zh-CN"", ""en"")"),"Jiangxi Province")</f>
        <v>Jiangxi Province</v>
      </c>
      <c r="C1071" s="1" t="s">
        <v>904</v>
      </c>
      <c r="D1071" s="1" t="str">
        <f>IFERROR(__xludf.DUMMYFUNCTION("GOOGLETRANSLATE(C1071, ""zh-CN"", ""en"")"),"Fuzhou")</f>
        <v>Fuzhou</v>
      </c>
      <c r="E1071" s="1" t="s">
        <v>984</v>
      </c>
      <c r="F1071" s="1" t="str">
        <f>IFERROR(__xludf.DUMMYFUNCTION("GOOGLETRANSLATE(E1071, ""zh-CN"", ""en"")"),"Nancheng County")</f>
        <v>Nancheng County</v>
      </c>
      <c r="G1071" s="1">
        <v>3.61021E11</v>
      </c>
    </row>
    <row r="1072">
      <c r="A1072" s="1" t="s">
        <v>894</v>
      </c>
      <c r="B1072" s="1" t="str">
        <f>IFERROR(__xludf.DUMMYFUNCTION("GOOGLETRANSLATE(A998, ""zh-CN"", ""en"")"),"Jiangxi Province")</f>
        <v>Jiangxi Province</v>
      </c>
      <c r="C1072" s="1" t="s">
        <v>904</v>
      </c>
      <c r="D1072" s="1" t="str">
        <f>IFERROR(__xludf.DUMMYFUNCTION("GOOGLETRANSLATE(C1072, ""zh-CN"", ""en"")"),"Fuzhou")</f>
        <v>Fuzhou</v>
      </c>
      <c r="E1072" s="1" t="s">
        <v>985</v>
      </c>
      <c r="F1072" s="1" t="str">
        <f>IFERROR(__xludf.DUMMYFUNCTION("GOOGLETRANSLATE(E1072, ""zh-CN"", ""en"")"),"Lichuan County")</f>
        <v>Lichuan County</v>
      </c>
      <c r="G1072" s="1">
        <v>3.61022E11</v>
      </c>
    </row>
    <row r="1073">
      <c r="A1073" s="1" t="s">
        <v>894</v>
      </c>
      <c r="B1073" s="1" t="str">
        <f>IFERROR(__xludf.DUMMYFUNCTION("GOOGLETRANSLATE(A999, ""zh-CN"", ""en"")"),"Jiangxi Province")</f>
        <v>Jiangxi Province</v>
      </c>
      <c r="C1073" s="1" t="s">
        <v>904</v>
      </c>
      <c r="D1073" s="1" t="str">
        <f>IFERROR(__xludf.DUMMYFUNCTION("GOOGLETRANSLATE(C1073, ""zh-CN"", ""en"")"),"Fuzhou")</f>
        <v>Fuzhou</v>
      </c>
      <c r="E1073" s="1" t="s">
        <v>986</v>
      </c>
      <c r="F1073" s="1" t="str">
        <f>IFERROR(__xludf.DUMMYFUNCTION("GOOGLETRANSLATE(E1073, ""zh-CN"", ""en"")"),"Nanfeng County")</f>
        <v>Nanfeng County</v>
      </c>
      <c r="G1073" s="1">
        <v>3.61023E11</v>
      </c>
    </row>
    <row r="1074">
      <c r="A1074" s="1" t="s">
        <v>894</v>
      </c>
      <c r="B1074" s="1" t="str">
        <f>IFERROR(__xludf.DUMMYFUNCTION("GOOGLETRANSLATE(A1000, ""zh-CN"", ""en"")"),"Jiangxi Province")</f>
        <v>Jiangxi Province</v>
      </c>
      <c r="C1074" s="1" t="s">
        <v>904</v>
      </c>
      <c r="D1074" s="1" t="str">
        <f>IFERROR(__xludf.DUMMYFUNCTION("GOOGLETRANSLATE(C1074, ""zh-CN"", ""en"")"),"Fuzhou")</f>
        <v>Fuzhou</v>
      </c>
      <c r="E1074" s="1" t="s">
        <v>987</v>
      </c>
      <c r="F1074" s="1" t="str">
        <f>IFERROR(__xludf.DUMMYFUNCTION("GOOGLETRANSLATE(E1074, ""zh-CN"", ""en"")"),"Chongren County")</f>
        <v>Chongren County</v>
      </c>
      <c r="G1074" s="1">
        <v>3.61024E11</v>
      </c>
    </row>
    <row r="1075">
      <c r="A1075" s="1" t="s">
        <v>894</v>
      </c>
      <c r="B1075" s="1" t="str">
        <f>IFERROR(__xludf.DUMMYFUNCTION("GOOGLETRANSLATE(A1001, ""zh-CN"", ""en"")"),"Jiangxi Province")</f>
        <v>Jiangxi Province</v>
      </c>
      <c r="C1075" s="1" t="s">
        <v>904</v>
      </c>
      <c r="D1075" s="1" t="str">
        <f>IFERROR(__xludf.DUMMYFUNCTION("GOOGLETRANSLATE(C1075, ""zh-CN"", ""en"")"),"Fuzhou")</f>
        <v>Fuzhou</v>
      </c>
      <c r="E1075" s="1" t="s">
        <v>988</v>
      </c>
      <c r="F1075" s="1" t="str">
        <f>IFERROR(__xludf.DUMMYFUNCTION("GOOGLETRANSLATE(E1075, ""zh-CN"", ""en"")"),"Le'an County")</f>
        <v>Le'an County</v>
      </c>
      <c r="G1075" s="1">
        <v>3.61025E11</v>
      </c>
    </row>
    <row r="1076">
      <c r="A1076" s="1" t="s">
        <v>894</v>
      </c>
      <c r="B1076" s="1" t="str">
        <f>IFERROR(__xludf.DUMMYFUNCTION("GOOGLETRANSLATE(A1002, ""zh-CN"", ""en"")"),"Jiangxi Province")</f>
        <v>Jiangxi Province</v>
      </c>
      <c r="C1076" s="1" t="s">
        <v>904</v>
      </c>
      <c r="D1076" s="1" t="str">
        <f>IFERROR(__xludf.DUMMYFUNCTION("GOOGLETRANSLATE(C1076, ""zh-CN"", ""en"")"),"Fuzhou")</f>
        <v>Fuzhou</v>
      </c>
      <c r="E1076" s="1" t="s">
        <v>989</v>
      </c>
      <c r="F1076" s="1" t="str">
        <f>IFERROR(__xludf.DUMMYFUNCTION("GOOGLETRANSLATE(E1076, ""zh-CN"", ""en"")"),"Yihuang County")</f>
        <v>Yihuang County</v>
      </c>
      <c r="G1076" s="1">
        <v>3.61026E11</v>
      </c>
    </row>
    <row r="1077">
      <c r="A1077" s="1" t="s">
        <v>894</v>
      </c>
      <c r="B1077" s="1" t="str">
        <f>IFERROR(__xludf.DUMMYFUNCTION("GOOGLETRANSLATE(A1003, ""zh-CN"", ""en"")"),"Jiangxi Province")</f>
        <v>Jiangxi Province</v>
      </c>
      <c r="C1077" s="1" t="s">
        <v>904</v>
      </c>
      <c r="D1077" s="1" t="str">
        <f>IFERROR(__xludf.DUMMYFUNCTION("GOOGLETRANSLATE(C1077, ""zh-CN"", ""en"")"),"Fuzhou")</f>
        <v>Fuzhou</v>
      </c>
      <c r="E1077" s="1" t="s">
        <v>990</v>
      </c>
      <c r="F1077" s="1" t="str">
        <f>IFERROR(__xludf.DUMMYFUNCTION("GOOGLETRANSLATE(E1077, ""zh-CN"", ""en"")"),"Jinxi County")</f>
        <v>Jinxi County</v>
      </c>
      <c r="G1077" s="1">
        <v>3.61027E11</v>
      </c>
    </row>
    <row r="1078">
      <c r="A1078" s="1" t="s">
        <v>894</v>
      </c>
      <c r="B1078" s="1" t="str">
        <f>IFERROR(__xludf.DUMMYFUNCTION("GOOGLETRANSLATE(A1004, ""zh-CN"", ""en"")"),"Jiangxi Province")</f>
        <v>Jiangxi Province</v>
      </c>
      <c r="C1078" s="1" t="s">
        <v>904</v>
      </c>
      <c r="D1078" s="1" t="str">
        <f>IFERROR(__xludf.DUMMYFUNCTION("GOOGLETRANSLATE(C1078, ""zh-CN"", ""en"")"),"Fuzhou")</f>
        <v>Fuzhou</v>
      </c>
      <c r="E1078" s="1" t="s">
        <v>991</v>
      </c>
      <c r="F1078" s="1" t="str">
        <f>IFERROR(__xludf.DUMMYFUNCTION("GOOGLETRANSLATE(E1078, ""zh-CN"", ""en"")"),"Zixi County")</f>
        <v>Zixi County</v>
      </c>
      <c r="G1078" s="1">
        <v>3.61028E11</v>
      </c>
    </row>
    <row r="1079">
      <c r="A1079" s="1" t="s">
        <v>894</v>
      </c>
      <c r="B1079" s="1" t="str">
        <f>IFERROR(__xludf.DUMMYFUNCTION("GOOGLETRANSLATE(A1005, ""zh-CN"", ""en"")"),"Jiangxi Province")</f>
        <v>Jiangxi Province</v>
      </c>
      <c r="C1079" s="1" t="s">
        <v>904</v>
      </c>
      <c r="D1079" s="1" t="str">
        <f>IFERROR(__xludf.DUMMYFUNCTION("GOOGLETRANSLATE(C1079, ""zh-CN"", ""en"")"),"Fuzhou")</f>
        <v>Fuzhou</v>
      </c>
      <c r="E1079" s="1" t="s">
        <v>992</v>
      </c>
      <c r="F1079" s="1" t="str">
        <f>IFERROR(__xludf.DUMMYFUNCTION("GOOGLETRANSLATE(E1079, ""zh-CN"", ""en"")"),"Guangchang County")</f>
        <v>Guangchang County</v>
      </c>
      <c r="G1079" s="1">
        <v>3.6103E11</v>
      </c>
    </row>
    <row r="1080">
      <c r="A1080" s="1" t="s">
        <v>894</v>
      </c>
      <c r="B1080" s="1" t="str">
        <f>IFERROR(__xludf.DUMMYFUNCTION("GOOGLETRANSLATE(A1006, ""zh-CN"", ""en"")"),"Jiangxi Province")</f>
        <v>Jiangxi Province</v>
      </c>
      <c r="C1080" s="1" t="s">
        <v>905</v>
      </c>
      <c r="D1080" s="1" t="str">
        <f>IFERROR(__xludf.DUMMYFUNCTION("GOOGLETRANSLATE(C1080, ""zh-CN"", ""en"")"),"Shangrao City")</f>
        <v>Shangrao City</v>
      </c>
      <c r="E1080" s="1" t="s">
        <v>24</v>
      </c>
      <c r="F1080" s="1" t="str">
        <f>IFERROR(__xludf.DUMMYFUNCTION("GOOGLETRANSLATE(E1080, ""zh-CN"", ""en"")"),"City area")</f>
        <v>City area</v>
      </c>
      <c r="G1080" s="1">
        <v>3.61101E11</v>
      </c>
    </row>
    <row r="1081">
      <c r="A1081" s="1" t="s">
        <v>894</v>
      </c>
      <c r="B1081" s="1" t="str">
        <f>IFERROR(__xludf.DUMMYFUNCTION("GOOGLETRANSLATE(A1007, ""zh-CN"", ""en"")"),"Jiangxi Province")</f>
        <v>Jiangxi Province</v>
      </c>
      <c r="C1081" s="1" t="s">
        <v>905</v>
      </c>
      <c r="D1081" s="1" t="str">
        <f>IFERROR(__xludf.DUMMYFUNCTION("GOOGLETRANSLATE(C1081, ""zh-CN"", ""en"")"),"Shangrao City")</f>
        <v>Shangrao City</v>
      </c>
      <c r="E1081" s="1" t="s">
        <v>993</v>
      </c>
      <c r="F1081" s="1" t="str">
        <f>IFERROR(__xludf.DUMMYFUNCTION("GOOGLETRANSLATE(E1081, ""zh-CN"", ""en"")"),"Xinzhou District")</f>
        <v>Xinzhou District</v>
      </c>
      <c r="G1081" s="1">
        <v>3.61102E11</v>
      </c>
    </row>
    <row r="1082">
      <c r="A1082" s="1" t="s">
        <v>894</v>
      </c>
      <c r="B1082" s="1" t="str">
        <f>IFERROR(__xludf.DUMMYFUNCTION("GOOGLETRANSLATE(A1008, ""zh-CN"", ""en"")"),"Jiangxi Province")</f>
        <v>Jiangxi Province</v>
      </c>
      <c r="C1082" s="1" t="s">
        <v>905</v>
      </c>
      <c r="D1082" s="1" t="str">
        <f>IFERROR(__xludf.DUMMYFUNCTION("GOOGLETRANSLATE(C1082, ""zh-CN"", ""en"")"),"Shangrao City")</f>
        <v>Shangrao City</v>
      </c>
      <c r="E1082" s="1" t="s">
        <v>994</v>
      </c>
      <c r="F1082" s="1" t="str">
        <f>IFERROR(__xludf.DUMMYFUNCTION("GOOGLETRANSLATE(E1082, ""zh-CN"", ""en"")"),"Guangfeng District")</f>
        <v>Guangfeng District</v>
      </c>
      <c r="G1082" s="1">
        <v>3.61103E11</v>
      </c>
    </row>
    <row r="1083">
      <c r="A1083" s="1" t="s">
        <v>894</v>
      </c>
      <c r="B1083" s="1" t="str">
        <f>IFERROR(__xludf.DUMMYFUNCTION("GOOGLETRANSLATE(A1009, ""zh-CN"", ""en"")"),"Jiangxi Province")</f>
        <v>Jiangxi Province</v>
      </c>
      <c r="C1083" s="1" t="s">
        <v>905</v>
      </c>
      <c r="D1083" s="1" t="str">
        <f>IFERROR(__xludf.DUMMYFUNCTION("GOOGLETRANSLATE(C1083, ""zh-CN"", ""en"")"),"Shangrao City")</f>
        <v>Shangrao City</v>
      </c>
      <c r="E1083" s="1" t="s">
        <v>995</v>
      </c>
      <c r="F1083" s="1" t="str">
        <f>IFERROR(__xludf.DUMMYFUNCTION("GOOGLETRANSLATE(E1083, ""zh-CN"", ""en"")"),"Guangxin District")</f>
        <v>Guangxin District</v>
      </c>
      <c r="G1083" s="1">
        <v>3.61104E11</v>
      </c>
    </row>
    <row r="1084">
      <c r="A1084" s="1" t="s">
        <v>894</v>
      </c>
      <c r="B1084" s="1" t="str">
        <f>IFERROR(__xludf.DUMMYFUNCTION("GOOGLETRANSLATE(A1010, ""zh-CN"", ""en"")"),"Jiangxi Province")</f>
        <v>Jiangxi Province</v>
      </c>
      <c r="C1084" s="1" t="s">
        <v>905</v>
      </c>
      <c r="D1084" s="1" t="str">
        <f>IFERROR(__xludf.DUMMYFUNCTION("GOOGLETRANSLATE(C1084, ""zh-CN"", ""en"")"),"Shangrao City")</f>
        <v>Shangrao City</v>
      </c>
      <c r="E1084" s="1" t="s">
        <v>996</v>
      </c>
      <c r="F1084" s="1" t="str">
        <f>IFERROR(__xludf.DUMMYFUNCTION("GOOGLETRANSLATE(E1084, ""zh-CN"", ""en"")"),"Yushan County")</f>
        <v>Yushan County</v>
      </c>
      <c r="G1084" s="1">
        <v>3.61123E11</v>
      </c>
    </row>
    <row r="1085">
      <c r="A1085" s="1" t="s">
        <v>894</v>
      </c>
      <c r="B1085" s="1" t="str">
        <f>IFERROR(__xludf.DUMMYFUNCTION("GOOGLETRANSLATE(A1011, ""zh-CN"", ""en"")"),"Jiangxi Province")</f>
        <v>Jiangxi Province</v>
      </c>
      <c r="C1085" s="1" t="s">
        <v>905</v>
      </c>
      <c r="D1085" s="1" t="str">
        <f>IFERROR(__xludf.DUMMYFUNCTION("GOOGLETRANSLATE(C1085, ""zh-CN"", ""en"")"),"Shangrao City")</f>
        <v>Shangrao City</v>
      </c>
      <c r="E1085" s="1" t="s">
        <v>997</v>
      </c>
      <c r="F1085" s="1" t="str">
        <f>IFERROR(__xludf.DUMMYFUNCTION("GOOGLETRANSLATE(E1085, ""zh-CN"", ""en"")"),"Lead mountain county")</f>
        <v>Lead mountain county</v>
      </c>
      <c r="G1085" s="1">
        <v>3.61124E11</v>
      </c>
    </row>
    <row r="1086">
      <c r="A1086" s="1" t="s">
        <v>894</v>
      </c>
      <c r="B1086" s="1" t="str">
        <f>IFERROR(__xludf.DUMMYFUNCTION("GOOGLETRANSLATE(A1012, ""zh-CN"", ""en"")"),"Jiangxi Province")</f>
        <v>Jiangxi Province</v>
      </c>
      <c r="C1086" s="1" t="s">
        <v>905</v>
      </c>
      <c r="D1086" s="1" t="str">
        <f>IFERROR(__xludf.DUMMYFUNCTION("GOOGLETRANSLATE(C1086, ""zh-CN"", ""en"")"),"Shangrao City")</f>
        <v>Shangrao City</v>
      </c>
      <c r="E1086" s="1" t="s">
        <v>998</v>
      </c>
      <c r="F1086" s="1" t="str">
        <f>IFERROR(__xludf.DUMMYFUNCTION("GOOGLETRANSLATE(E1086, ""zh-CN"", ""en"")"),"Hengfeng County")</f>
        <v>Hengfeng County</v>
      </c>
      <c r="G1086" s="1">
        <v>3.61125E11</v>
      </c>
    </row>
    <row r="1087">
      <c r="A1087" s="1" t="s">
        <v>894</v>
      </c>
      <c r="B1087" s="1" t="str">
        <f>IFERROR(__xludf.DUMMYFUNCTION("GOOGLETRANSLATE(A1013, ""zh-CN"", ""en"")"),"Jiangxi Province")</f>
        <v>Jiangxi Province</v>
      </c>
      <c r="C1087" s="1" t="s">
        <v>905</v>
      </c>
      <c r="D1087" s="1" t="str">
        <f>IFERROR(__xludf.DUMMYFUNCTION("GOOGLETRANSLATE(C1087, ""zh-CN"", ""en"")"),"Shangrao City")</f>
        <v>Shangrao City</v>
      </c>
      <c r="E1087" s="1" t="s">
        <v>999</v>
      </c>
      <c r="F1087" s="1" t="str">
        <f>IFERROR(__xludf.DUMMYFUNCTION("GOOGLETRANSLATE(E1087, ""zh-CN"", ""en"")"),"Puyang County")</f>
        <v>Puyang County</v>
      </c>
      <c r="G1087" s="1">
        <v>3.61126E11</v>
      </c>
    </row>
    <row r="1088">
      <c r="A1088" s="1" t="s">
        <v>894</v>
      </c>
      <c r="B1088" s="1" t="str">
        <f>IFERROR(__xludf.DUMMYFUNCTION("GOOGLETRANSLATE(A1014, ""zh-CN"", ""en"")"),"Jiangxi Province")</f>
        <v>Jiangxi Province</v>
      </c>
      <c r="C1088" s="1" t="s">
        <v>905</v>
      </c>
      <c r="D1088" s="1" t="str">
        <f>IFERROR(__xludf.DUMMYFUNCTION("GOOGLETRANSLATE(C1088, ""zh-CN"", ""en"")"),"Shangrao City")</f>
        <v>Shangrao City</v>
      </c>
      <c r="E1088" s="1" t="s">
        <v>1000</v>
      </c>
      <c r="F1088" s="1" t="str">
        <f>IFERROR(__xludf.DUMMYFUNCTION("GOOGLETRANSLATE(E1088, ""zh-CN"", ""en"")"),"Yuqian County")</f>
        <v>Yuqian County</v>
      </c>
      <c r="G1088" s="1">
        <v>3.61127E11</v>
      </c>
    </row>
    <row r="1089">
      <c r="A1089" s="1" t="s">
        <v>894</v>
      </c>
      <c r="B1089" s="1" t="str">
        <f>IFERROR(__xludf.DUMMYFUNCTION("GOOGLETRANSLATE(A1015, ""zh-CN"", ""en"")"),"Jiangxi Province")</f>
        <v>Jiangxi Province</v>
      </c>
      <c r="C1089" s="1" t="s">
        <v>905</v>
      </c>
      <c r="D1089" s="1" t="str">
        <f>IFERROR(__xludf.DUMMYFUNCTION("GOOGLETRANSLATE(C1089, ""zh-CN"", ""en"")"),"Shangrao City")</f>
        <v>Shangrao City</v>
      </c>
      <c r="E1089" s="1" t="s">
        <v>1001</v>
      </c>
      <c r="F1089" s="1" t="str">
        <f>IFERROR(__xludf.DUMMYFUNCTION("GOOGLETRANSLATE(E1089, ""zh-CN"", ""en"")"),"Poyang County")</f>
        <v>Poyang County</v>
      </c>
      <c r="G1089" s="1">
        <v>3.61128E11</v>
      </c>
    </row>
    <row r="1090">
      <c r="A1090" s="1" t="s">
        <v>894</v>
      </c>
      <c r="B1090" s="1" t="str">
        <f>IFERROR(__xludf.DUMMYFUNCTION("GOOGLETRANSLATE(A1016, ""zh-CN"", ""en"")"),"Jiangxi Province")</f>
        <v>Jiangxi Province</v>
      </c>
      <c r="C1090" s="1" t="s">
        <v>905</v>
      </c>
      <c r="D1090" s="1" t="str">
        <f>IFERROR(__xludf.DUMMYFUNCTION("GOOGLETRANSLATE(C1090, ""zh-CN"", ""en"")"),"Shangrao City")</f>
        <v>Shangrao City</v>
      </c>
      <c r="E1090" s="1" t="s">
        <v>1002</v>
      </c>
      <c r="F1090" s="1" t="str">
        <f>IFERROR(__xludf.DUMMYFUNCTION("GOOGLETRANSLATE(E1090, ""zh-CN"", ""en"")"),"Wannian County")</f>
        <v>Wannian County</v>
      </c>
      <c r="G1090" s="1">
        <v>3.61129E11</v>
      </c>
    </row>
    <row r="1091">
      <c r="A1091" s="1" t="s">
        <v>894</v>
      </c>
      <c r="B1091" s="1" t="str">
        <f>IFERROR(__xludf.DUMMYFUNCTION("GOOGLETRANSLATE(A1017, ""zh-CN"", ""en"")"),"Jiangxi Province")</f>
        <v>Jiangxi Province</v>
      </c>
      <c r="C1091" s="1" t="s">
        <v>905</v>
      </c>
      <c r="D1091" s="1" t="str">
        <f>IFERROR(__xludf.DUMMYFUNCTION("GOOGLETRANSLATE(C1091, ""zh-CN"", ""en"")"),"Shangrao City")</f>
        <v>Shangrao City</v>
      </c>
      <c r="E1091" s="1" t="s">
        <v>1003</v>
      </c>
      <c r="F1091" s="1" t="str">
        <f>IFERROR(__xludf.DUMMYFUNCTION("GOOGLETRANSLATE(E1091, ""zh-CN"", ""en"")"),"Wuyuan County")</f>
        <v>Wuyuan County</v>
      </c>
      <c r="G1091" s="1">
        <v>3.6113E11</v>
      </c>
    </row>
    <row r="1092">
      <c r="A1092" s="1" t="s">
        <v>894</v>
      </c>
      <c r="B1092" s="1" t="str">
        <f>IFERROR(__xludf.DUMMYFUNCTION("GOOGLETRANSLATE(A1018, ""zh-CN"", ""en"")"),"Jiangxi Province")</f>
        <v>Jiangxi Province</v>
      </c>
      <c r="C1092" s="1" t="s">
        <v>905</v>
      </c>
      <c r="D1092" s="1" t="str">
        <f>IFERROR(__xludf.DUMMYFUNCTION("GOOGLETRANSLATE(C1092, ""zh-CN"", ""en"")"),"Shangrao City")</f>
        <v>Shangrao City</v>
      </c>
      <c r="E1092" s="1" t="s">
        <v>1004</v>
      </c>
      <c r="F1092" s="1" t="str">
        <f>IFERROR(__xludf.DUMMYFUNCTION("GOOGLETRANSLATE(E1092, ""zh-CN"", ""en"")"),"Dexing City")</f>
        <v>Dexing City</v>
      </c>
      <c r="G1092" s="1">
        <v>3.61181E11</v>
      </c>
    </row>
    <row r="1093">
      <c r="A1093" s="1" t="s">
        <v>1005</v>
      </c>
      <c r="B1093" s="1" t="str">
        <f>IFERROR(__xludf.DUMMYFUNCTION("GOOGLETRANSLATE(A1019, ""zh-CN"", ""en"")"),"Jiangxi Province")</f>
        <v>Jiangxi Province</v>
      </c>
      <c r="C1093" s="1" t="s">
        <v>8</v>
      </c>
      <c r="D1093" s="1" t="str">
        <f>IFERROR(__xludf.DUMMYFUNCTION("GOOGLETRANSLATE(C1093, ""zh-CN"", ""en"")"),"Na")</f>
        <v>Na</v>
      </c>
      <c r="E1093" s="1" t="s">
        <v>8</v>
      </c>
      <c r="F1093" s="1" t="str">
        <f>IFERROR(__xludf.DUMMYFUNCTION("GOOGLETRANSLATE(E1093, ""zh-CN"", ""en"")"),"Na")</f>
        <v>Na</v>
      </c>
      <c r="G1093" s="1">
        <v>23.0</v>
      </c>
    </row>
    <row r="1094">
      <c r="A1094" s="1" t="s">
        <v>1005</v>
      </c>
      <c r="B1094" s="1" t="str">
        <f>IFERROR(__xludf.DUMMYFUNCTION("GOOGLETRANSLATE(A1020, ""zh-CN"", ""en"")"),"Jiangxi Province")</f>
        <v>Jiangxi Province</v>
      </c>
      <c r="C1094" s="1" t="s">
        <v>1006</v>
      </c>
      <c r="D1094" s="1" t="str">
        <f>IFERROR(__xludf.DUMMYFUNCTION("GOOGLETRANSLATE(C1094, ""zh-CN"", ""en"")"),"Harbin City")</f>
        <v>Harbin City</v>
      </c>
      <c r="E1094" s="1" t="s">
        <v>8</v>
      </c>
      <c r="F1094" s="1" t="str">
        <f>IFERROR(__xludf.DUMMYFUNCTION("GOOGLETRANSLATE(E1094, ""zh-CN"", ""en"")"),"Na")</f>
        <v>Na</v>
      </c>
      <c r="G1094" s="1">
        <v>2.301E11</v>
      </c>
    </row>
    <row r="1095">
      <c r="A1095" s="1" t="s">
        <v>1005</v>
      </c>
      <c r="B1095" s="1" t="str">
        <f>IFERROR(__xludf.DUMMYFUNCTION("GOOGLETRANSLATE(A1021, ""zh-CN"", ""en"")"),"Jiangxi Province")</f>
        <v>Jiangxi Province</v>
      </c>
      <c r="C1095" s="1" t="s">
        <v>1007</v>
      </c>
      <c r="D1095" s="1" t="str">
        <f>IFERROR(__xludf.DUMMYFUNCTION("GOOGLETRANSLATE(C1095, ""zh-CN"", ""en"")"),"Qiqihar City")</f>
        <v>Qiqihar City</v>
      </c>
      <c r="E1095" s="1" t="s">
        <v>8</v>
      </c>
      <c r="F1095" s="1" t="str">
        <f>IFERROR(__xludf.DUMMYFUNCTION("GOOGLETRANSLATE(E1095, ""zh-CN"", ""en"")"),"Na")</f>
        <v>Na</v>
      </c>
      <c r="G1095" s="1">
        <v>2.302E11</v>
      </c>
    </row>
    <row r="1096">
      <c r="A1096" s="1" t="s">
        <v>1005</v>
      </c>
      <c r="B1096" s="1" t="str">
        <f>IFERROR(__xludf.DUMMYFUNCTION("GOOGLETRANSLATE(A1022, ""zh-CN"", ""en"")"),"Jiangxi Province")</f>
        <v>Jiangxi Province</v>
      </c>
      <c r="C1096" s="1" t="s">
        <v>1008</v>
      </c>
      <c r="D1096" s="1" t="str">
        <f>IFERROR(__xludf.DUMMYFUNCTION("GOOGLETRANSLATE(C1096, ""zh-CN"", ""en"")"),"Jixi City")</f>
        <v>Jixi City</v>
      </c>
      <c r="E1096" s="1" t="s">
        <v>8</v>
      </c>
      <c r="F1096" s="1" t="str">
        <f>IFERROR(__xludf.DUMMYFUNCTION("GOOGLETRANSLATE(E1096, ""zh-CN"", ""en"")"),"Na")</f>
        <v>Na</v>
      </c>
      <c r="G1096" s="1">
        <v>2.303E11</v>
      </c>
    </row>
    <row r="1097">
      <c r="A1097" s="1" t="s">
        <v>1005</v>
      </c>
      <c r="B1097" s="1" t="str">
        <f>IFERROR(__xludf.DUMMYFUNCTION("GOOGLETRANSLATE(A1023, ""zh-CN"", ""en"")"),"Jiangxi Province")</f>
        <v>Jiangxi Province</v>
      </c>
      <c r="C1097" s="1" t="s">
        <v>1009</v>
      </c>
      <c r="D1097" s="1" t="str">
        <f>IFERROR(__xludf.DUMMYFUNCTION("GOOGLETRANSLATE(C1097, ""zh-CN"", ""en"")"),"Hegang City")</f>
        <v>Hegang City</v>
      </c>
      <c r="E1097" s="1" t="s">
        <v>8</v>
      </c>
      <c r="F1097" s="1" t="str">
        <f>IFERROR(__xludf.DUMMYFUNCTION("GOOGLETRANSLATE(E1097, ""zh-CN"", ""en"")"),"Na")</f>
        <v>Na</v>
      </c>
      <c r="G1097" s="1">
        <v>2.304E11</v>
      </c>
    </row>
    <row r="1098">
      <c r="A1098" s="1" t="s">
        <v>1005</v>
      </c>
      <c r="B1098" s="1" t="str">
        <f>IFERROR(__xludf.DUMMYFUNCTION("GOOGLETRANSLATE(A1024, ""zh-CN"", ""en"")"),"Jiangxi Province")</f>
        <v>Jiangxi Province</v>
      </c>
      <c r="C1098" s="1" t="s">
        <v>1010</v>
      </c>
      <c r="D1098" s="1" t="str">
        <f>IFERROR(__xludf.DUMMYFUNCTION("GOOGLETRANSLATE(C1098, ""zh-CN"", ""en"")"),"Shuangyashan City")</f>
        <v>Shuangyashan City</v>
      </c>
      <c r="E1098" s="1" t="s">
        <v>8</v>
      </c>
      <c r="F1098" s="1" t="str">
        <f>IFERROR(__xludf.DUMMYFUNCTION("GOOGLETRANSLATE(E1098, ""zh-CN"", ""en"")"),"Na")</f>
        <v>Na</v>
      </c>
      <c r="G1098" s="1">
        <v>2.305E11</v>
      </c>
    </row>
    <row r="1099">
      <c r="A1099" s="1" t="s">
        <v>1005</v>
      </c>
      <c r="B1099" s="1" t="str">
        <f>IFERROR(__xludf.DUMMYFUNCTION("GOOGLETRANSLATE(A1025, ""zh-CN"", ""en"")"),"Jiangxi Province")</f>
        <v>Jiangxi Province</v>
      </c>
      <c r="C1099" s="1" t="s">
        <v>1011</v>
      </c>
      <c r="D1099" s="1" t="str">
        <f>IFERROR(__xludf.DUMMYFUNCTION("GOOGLETRANSLATE(C1099, ""zh-CN"", ""en"")"),"Daqing City")</f>
        <v>Daqing City</v>
      </c>
      <c r="E1099" s="1" t="s">
        <v>8</v>
      </c>
      <c r="F1099" s="1" t="str">
        <f>IFERROR(__xludf.DUMMYFUNCTION("GOOGLETRANSLATE(E1099, ""zh-CN"", ""en"")"),"Na")</f>
        <v>Na</v>
      </c>
      <c r="G1099" s="1">
        <v>2.306E11</v>
      </c>
    </row>
    <row r="1100">
      <c r="A1100" s="1" t="s">
        <v>1005</v>
      </c>
      <c r="B1100" s="1" t="str">
        <f>IFERROR(__xludf.DUMMYFUNCTION("GOOGLETRANSLATE(A1026, ""zh-CN"", ""en"")"),"Jiangxi Province")</f>
        <v>Jiangxi Province</v>
      </c>
      <c r="C1100" s="1" t="s">
        <v>1012</v>
      </c>
      <c r="D1100" s="1" t="str">
        <f>IFERROR(__xludf.DUMMYFUNCTION("GOOGLETRANSLATE(C1100, ""zh-CN"", ""en"")"),"Yichun City")</f>
        <v>Yichun City</v>
      </c>
      <c r="E1100" s="1" t="s">
        <v>8</v>
      </c>
      <c r="F1100" s="1" t="str">
        <f>IFERROR(__xludf.DUMMYFUNCTION("GOOGLETRANSLATE(E1100, ""zh-CN"", ""en"")"),"Na")</f>
        <v>Na</v>
      </c>
      <c r="G1100" s="1">
        <v>2.307E11</v>
      </c>
    </row>
    <row r="1101">
      <c r="A1101" s="1" t="s">
        <v>1005</v>
      </c>
      <c r="B1101" s="1" t="str">
        <f>IFERROR(__xludf.DUMMYFUNCTION("GOOGLETRANSLATE(A1027, ""zh-CN"", ""en"")"),"Jiangxi Province")</f>
        <v>Jiangxi Province</v>
      </c>
      <c r="C1101" s="1" t="s">
        <v>1013</v>
      </c>
      <c r="D1101" s="1" t="str">
        <f>IFERROR(__xludf.DUMMYFUNCTION("GOOGLETRANSLATE(C1101, ""zh-CN"", ""en"")"),"Jiamusi City")</f>
        <v>Jiamusi City</v>
      </c>
      <c r="E1101" s="1" t="s">
        <v>8</v>
      </c>
      <c r="F1101" s="1" t="str">
        <f>IFERROR(__xludf.DUMMYFUNCTION("GOOGLETRANSLATE(E1101, ""zh-CN"", ""en"")"),"Na")</f>
        <v>Na</v>
      </c>
      <c r="G1101" s="1">
        <v>2.308E11</v>
      </c>
    </row>
    <row r="1102">
      <c r="A1102" s="1" t="s">
        <v>1005</v>
      </c>
      <c r="B1102" s="1" t="str">
        <f>IFERROR(__xludf.DUMMYFUNCTION("GOOGLETRANSLATE(A1028, ""zh-CN"", ""en"")"),"Jiangxi Province")</f>
        <v>Jiangxi Province</v>
      </c>
      <c r="C1102" s="1" t="s">
        <v>1014</v>
      </c>
      <c r="D1102" s="1" t="str">
        <f>IFERROR(__xludf.DUMMYFUNCTION("GOOGLETRANSLATE(C1102, ""zh-CN"", ""en"")"),"Qitaihe City")</f>
        <v>Qitaihe City</v>
      </c>
      <c r="E1102" s="1" t="s">
        <v>8</v>
      </c>
      <c r="F1102" s="1" t="str">
        <f>IFERROR(__xludf.DUMMYFUNCTION("GOOGLETRANSLATE(E1102, ""zh-CN"", ""en"")"),"Na")</f>
        <v>Na</v>
      </c>
      <c r="G1102" s="1">
        <v>2.309E11</v>
      </c>
    </row>
    <row r="1103">
      <c r="A1103" s="1" t="s">
        <v>1005</v>
      </c>
      <c r="B1103" s="1" t="str">
        <f>IFERROR(__xludf.DUMMYFUNCTION("GOOGLETRANSLATE(A1029, ""zh-CN"", ""en"")"),"Jiangxi Province")</f>
        <v>Jiangxi Province</v>
      </c>
      <c r="C1103" s="1" t="s">
        <v>1015</v>
      </c>
      <c r="D1103" s="1" t="str">
        <f>IFERROR(__xludf.DUMMYFUNCTION("GOOGLETRANSLATE(C1103, ""zh-CN"", ""en"")"),"Mudanjiang City")</f>
        <v>Mudanjiang City</v>
      </c>
      <c r="E1103" s="1" t="s">
        <v>8</v>
      </c>
      <c r="F1103" s="1" t="str">
        <f>IFERROR(__xludf.DUMMYFUNCTION("GOOGLETRANSLATE(E1103, ""zh-CN"", ""en"")"),"Na")</f>
        <v>Na</v>
      </c>
      <c r="G1103" s="1">
        <v>2.31E11</v>
      </c>
    </row>
    <row r="1104">
      <c r="A1104" s="1" t="s">
        <v>1005</v>
      </c>
      <c r="B1104" s="1" t="str">
        <f>IFERROR(__xludf.DUMMYFUNCTION("GOOGLETRANSLATE(A1030, ""zh-CN"", ""en"")"),"Jiangxi Province")</f>
        <v>Jiangxi Province</v>
      </c>
      <c r="C1104" s="1" t="s">
        <v>1016</v>
      </c>
      <c r="D1104" s="1" t="str">
        <f>IFERROR(__xludf.DUMMYFUNCTION("GOOGLETRANSLATE(C1104, ""zh-CN"", ""en"")"),"Heihe City")</f>
        <v>Heihe City</v>
      </c>
      <c r="E1104" s="1" t="s">
        <v>8</v>
      </c>
      <c r="F1104" s="1" t="str">
        <f>IFERROR(__xludf.DUMMYFUNCTION("GOOGLETRANSLATE(E1104, ""zh-CN"", ""en"")"),"Na")</f>
        <v>Na</v>
      </c>
      <c r="G1104" s="1">
        <v>2.311E11</v>
      </c>
    </row>
    <row r="1105">
      <c r="A1105" s="1" t="s">
        <v>1005</v>
      </c>
      <c r="B1105" s="1" t="str">
        <f>IFERROR(__xludf.DUMMYFUNCTION("GOOGLETRANSLATE(A1031, ""zh-CN"", ""en"")"),"Jiangxi Province")</f>
        <v>Jiangxi Province</v>
      </c>
      <c r="C1105" s="1" t="s">
        <v>1017</v>
      </c>
      <c r="D1105" s="1" t="str">
        <f>IFERROR(__xludf.DUMMYFUNCTION("GOOGLETRANSLATE(C1105, ""zh-CN"", ""en"")"),"Suihua City")</f>
        <v>Suihua City</v>
      </c>
      <c r="E1105" s="1" t="s">
        <v>8</v>
      </c>
      <c r="F1105" s="1" t="str">
        <f>IFERROR(__xludf.DUMMYFUNCTION("GOOGLETRANSLATE(E1105, ""zh-CN"", ""en"")"),"Na")</f>
        <v>Na</v>
      </c>
      <c r="G1105" s="1">
        <v>2.312E11</v>
      </c>
    </row>
    <row r="1106">
      <c r="A1106" s="1" t="s">
        <v>1005</v>
      </c>
      <c r="B1106" s="1" t="str">
        <f>IFERROR(__xludf.DUMMYFUNCTION("GOOGLETRANSLATE(A1032, ""zh-CN"", ""en"")"),"Jiangxi Province")</f>
        <v>Jiangxi Province</v>
      </c>
      <c r="C1106" s="1" t="s">
        <v>1018</v>
      </c>
      <c r="D1106" s="1" t="str">
        <f>IFERROR(__xludf.DUMMYFUNCTION("GOOGLETRANSLATE(C1106, ""zh-CN"", ""en"")"),"Daxinganling area")</f>
        <v>Daxinganling area</v>
      </c>
      <c r="E1106" s="1" t="s">
        <v>8</v>
      </c>
      <c r="F1106" s="1" t="str">
        <f>IFERROR(__xludf.DUMMYFUNCTION("GOOGLETRANSLATE(E1106, ""zh-CN"", ""en"")"),"Na")</f>
        <v>Na</v>
      </c>
      <c r="G1106" s="1">
        <v>2.327E11</v>
      </c>
    </row>
    <row r="1107">
      <c r="A1107" s="1" t="s">
        <v>1005</v>
      </c>
      <c r="B1107" s="1" t="str">
        <f>IFERROR(__xludf.DUMMYFUNCTION("GOOGLETRANSLATE(A1033, ""zh-CN"", ""en"")"),"Jiangxi Province")</f>
        <v>Jiangxi Province</v>
      </c>
      <c r="C1107" s="1" t="s">
        <v>1006</v>
      </c>
      <c r="D1107" s="1" t="str">
        <f>IFERROR(__xludf.DUMMYFUNCTION("GOOGLETRANSLATE(C1107, ""zh-CN"", ""en"")"),"Harbin City")</f>
        <v>Harbin City</v>
      </c>
      <c r="E1107" s="1" t="s">
        <v>24</v>
      </c>
      <c r="F1107" s="1" t="str">
        <f>IFERROR(__xludf.DUMMYFUNCTION("GOOGLETRANSLATE(E1107, ""zh-CN"", ""en"")"),"City area")</f>
        <v>City area</v>
      </c>
      <c r="G1107" s="1">
        <v>2.30101E11</v>
      </c>
    </row>
    <row r="1108">
      <c r="A1108" s="1" t="s">
        <v>1005</v>
      </c>
      <c r="B1108" s="1" t="str">
        <f>IFERROR(__xludf.DUMMYFUNCTION("GOOGLETRANSLATE(A1034, ""zh-CN"", ""en"")"),"Jiangxi Province")</f>
        <v>Jiangxi Province</v>
      </c>
      <c r="C1108" s="1" t="s">
        <v>1006</v>
      </c>
      <c r="D1108" s="1" t="str">
        <f>IFERROR(__xludf.DUMMYFUNCTION("GOOGLETRANSLATE(C1108, ""zh-CN"", ""en"")"),"Harbin City")</f>
        <v>Harbin City</v>
      </c>
      <c r="E1108" s="1" t="s">
        <v>1019</v>
      </c>
      <c r="F1108" s="1" t="str">
        <f>IFERROR(__xludf.DUMMYFUNCTION("GOOGLETRANSLATE(E1108, ""zh-CN"", ""en"")"),"Diaoli District")</f>
        <v>Diaoli District</v>
      </c>
      <c r="G1108" s="1">
        <v>2.30102E11</v>
      </c>
    </row>
    <row r="1109">
      <c r="A1109" s="1" t="s">
        <v>1005</v>
      </c>
      <c r="B1109" s="1" t="str">
        <f>IFERROR(__xludf.DUMMYFUNCTION("GOOGLETRANSLATE(A1035, ""zh-CN"", ""en"")"),"Jiangxi Province")</f>
        <v>Jiangxi Province</v>
      </c>
      <c r="C1109" s="1" t="s">
        <v>1006</v>
      </c>
      <c r="D1109" s="1" t="str">
        <f>IFERROR(__xludf.DUMMYFUNCTION("GOOGLETRANSLATE(C1109, ""zh-CN"", ""en"")"),"Harbin City")</f>
        <v>Harbin City</v>
      </c>
      <c r="E1109" s="1" t="s">
        <v>1020</v>
      </c>
      <c r="F1109" s="1" t="str">
        <f>IFERROR(__xludf.DUMMYFUNCTION("GOOGLETRANSLATE(E1109, ""zh-CN"", ""en"")"),"Nangang District")</f>
        <v>Nangang District</v>
      </c>
      <c r="G1109" s="1">
        <v>2.30103E11</v>
      </c>
    </row>
    <row r="1110">
      <c r="A1110" s="1" t="s">
        <v>1005</v>
      </c>
      <c r="B1110" s="1" t="str">
        <f>IFERROR(__xludf.DUMMYFUNCTION("GOOGLETRANSLATE(A1036, ""zh-CN"", ""en"")"),"Jiangxi Province")</f>
        <v>Jiangxi Province</v>
      </c>
      <c r="C1110" s="1" t="s">
        <v>1006</v>
      </c>
      <c r="D1110" s="1" t="str">
        <f>IFERROR(__xludf.DUMMYFUNCTION("GOOGLETRANSLATE(C1110, ""zh-CN"", ""en"")"),"Harbin City")</f>
        <v>Harbin City</v>
      </c>
      <c r="E1110" s="1" t="s">
        <v>1021</v>
      </c>
      <c r="F1110" s="1" t="str">
        <f>IFERROR(__xludf.DUMMYFUNCTION("GOOGLETRANSLATE(E1110, ""zh-CN"", ""en"")"),"Outer area")</f>
        <v>Outer area</v>
      </c>
      <c r="G1110" s="1">
        <v>2.30104E11</v>
      </c>
    </row>
    <row r="1111">
      <c r="A1111" s="1" t="s">
        <v>1005</v>
      </c>
      <c r="B1111" s="1" t="str">
        <f>IFERROR(__xludf.DUMMYFUNCTION("GOOGLETRANSLATE(A1037, ""zh-CN"", ""en"")"),"Jiangxi Province")</f>
        <v>Jiangxi Province</v>
      </c>
      <c r="C1111" s="1" t="s">
        <v>1006</v>
      </c>
      <c r="D1111" s="1" t="str">
        <f>IFERROR(__xludf.DUMMYFUNCTION("GOOGLETRANSLATE(C1111, ""zh-CN"", ""en"")"),"Harbin City")</f>
        <v>Harbin City</v>
      </c>
      <c r="E1111" s="1" t="s">
        <v>1022</v>
      </c>
      <c r="F1111" s="1" t="str">
        <f>IFERROR(__xludf.DUMMYFUNCTION("GOOGLETRANSLATE(E1111, ""zh-CN"", ""en"")"),"Bungalow")</f>
        <v>Bungalow</v>
      </c>
      <c r="G1111" s="1">
        <v>2.30108E11</v>
      </c>
    </row>
    <row r="1112">
      <c r="A1112" s="1" t="s">
        <v>1005</v>
      </c>
      <c r="B1112" s="1" t="str">
        <f>IFERROR(__xludf.DUMMYFUNCTION("GOOGLETRANSLATE(A1038, ""zh-CN"", ""en"")"),"Jiangxi Province")</f>
        <v>Jiangxi Province</v>
      </c>
      <c r="C1112" s="1" t="s">
        <v>1006</v>
      </c>
      <c r="D1112" s="1" t="str">
        <f>IFERROR(__xludf.DUMMYFUNCTION("GOOGLETRANSLATE(C1112, ""zh-CN"", ""en"")"),"Harbin City")</f>
        <v>Harbin City</v>
      </c>
      <c r="E1112" s="1" t="s">
        <v>1023</v>
      </c>
      <c r="F1112" s="1" t="str">
        <f>IFERROR(__xludf.DUMMYFUNCTION("GOOGLETRANSLATE(E1112, ""zh-CN"", ""en"")"),"Songbei District")</f>
        <v>Songbei District</v>
      </c>
      <c r="G1112" s="1">
        <v>2.30109E11</v>
      </c>
    </row>
    <row r="1113">
      <c r="A1113" s="1" t="s">
        <v>1005</v>
      </c>
      <c r="B1113" s="1" t="str">
        <f>IFERROR(__xludf.DUMMYFUNCTION("GOOGLETRANSLATE(A1039, ""zh-CN"", ""en"")"),"Jiangxi Province")</f>
        <v>Jiangxi Province</v>
      </c>
      <c r="C1113" s="1" t="s">
        <v>1006</v>
      </c>
      <c r="D1113" s="1" t="str">
        <f>IFERROR(__xludf.DUMMYFUNCTION("GOOGLETRANSLATE(C1113, ""zh-CN"", ""en"")"),"Harbin City")</f>
        <v>Harbin City</v>
      </c>
      <c r="E1113" s="1" t="s">
        <v>1024</v>
      </c>
      <c r="F1113" s="1" t="str">
        <f>IFERROR(__xludf.DUMMYFUNCTION("GOOGLETRANSLATE(E1113, ""zh-CN"", ""en"")"),"Xiangfang District")</f>
        <v>Xiangfang District</v>
      </c>
      <c r="G1113" s="1">
        <v>2.3011E11</v>
      </c>
    </row>
    <row r="1114">
      <c r="A1114" s="1" t="s">
        <v>1005</v>
      </c>
      <c r="B1114" s="1" t="str">
        <f>IFERROR(__xludf.DUMMYFUNCTION("GOOGLETRANSLATE(A1040, ""zh-CN"", ""en"")"),"Jiangxi Province")</f>
        <v>Jiangxi Province</v>
      </c>
      <c r="C1114" s="1" t="s">
        <v>1006</v>
      </c>
      <c r="D1114" s="1" t="str">
        <f>IFERROR(__xludf.DUMMYFUNCTION("GOOGLETRANSLATE(C1114, ""zh-CN"", ""en"")"),"Harbin City")</f>
        <v>Harbin City</v>
      </c>
      <c r="E1114" s="1" t="s">
        <v>1025</v>
      </c>
      <c r="F1114" s="1" t="str">
        <f>IFERROR(__xludf.DUMMYFUNCTION("GOOGLETRANSLATE(E1114, ""zh-CN"", ""en"")"),"Hulan District")</f>
        <v>Hulan District</v>
      </c>
      <c r="G1114" s="1">
        <v>2.30111E11</v>
      </c>
    </row>
    <row r="1115">
      <c r="A1115" s="1" t="s">
        <v>1005</v>
      </c>
      <c r="B1115" s="1" t="str">
        <f>IFERROR(__xludf.DUMMYFUNCTION("GOOGLETRANSLATE(A1041, ""zh-CN"", ""en"")"),"Jiangxi Province")</f>
        <v>Jiangxi Province</v>
      </c>
      <c r="C1115" s="1" t="s">
        <v>1006</v>
      </c>
      <c r="D1115" s="1" t="str">
        <f>IFERROR(__xludf.DUMMYFUNCTION("GOOGLETRANSLATE(C1115, ""zh-CN"", ""en"")"),"Harbin City")</f>
        <v>Harbin City</v>
      </c>
      <c r="E1115" s="1" t="s">
        <v>1026</v>
      </c>
      <c r="F1115" s="1" t="str">
        <f>IFERROR(__xludf.DUMMYFUNCTION("GOOGLETRANSLATE(E1115, ""zh-CN"", ""en"")"),"Acheng District")</f>
        <v>Acheng District</v>
      </c>
      <c r="G1115" s="1">
        <v>2.30112E11</v>
      </c>
    </row>
    <row r="1116">
      <c r="A1116" s="1" t="s">
        <v>1005</v>
      </c>
      <c r="B1116" s="1" t="str">
        <f>IFERROR(__xludf.DUMMYFUNCTION("GOOGLETRANSLATE(A1042, ""zh-CN"", ""en"")"),"Jiangxi Province")</f>
        <v>Jiangxi Province</v>
      </c>
      <c r="C1116" s="1" t="s">
        <v>1006</v>
      </c>
      <c r="D1116" s="1" t="str">
        <f>IFERROR(__xludf.DUMMYFUNCTION("GOOGLETRANSLATE(C1116, ""zh-CN"", ""en"")"),"Harbin City")</f>
        <v>Harbin City</v>
      </c>
      <c r="E1116" s="1" t="s">
        <v>1027</v>
      </c>
      <c r="F1116" s="1" t="str">
        <f>IFERROR(__xludf.DUMMYFUNCTION("GOOGLETRANSLATE(E1116, ""zh-CN"", ""en"")"),"Dual -city area")</f>
        <v>Dual -city area</v>
      </c>
      <c r="G1116" s="1">
        <v>2.30113E11</v>
      </c>
    </row>
    <row r="1117">
      <c r="A1117" s="1" t="s">
        <v>1005</v>
      </c>
      <c r="B1117" s="1" t="str">
        <f>IFERROR(__xludf.DUMMYFUNCTION("GOOGLETRANSLATE(A1043, ""zh-CN"", ""en"")"),"Jiangxi Province")</f>
        <v>Jiangxi Province</v>
      </c>
      <c r="C1117" s="1" t="s">
        <v>1006</v>
      </c>
      <c r="D1117" s="1" t="str">
        <f>IFERROR(__xludf.DUMMYFUNCTION("GOOGLETRANSLATE(C1117, ""zh-CN"", ""en"")"),"Harbin City")</f>
        <v>Harbin City</v>
      </c>
      <c r="E1117" s="1" t="s">
        <v>1028</v>
      </c>
      <c r="F1117" s="1" t="str">
        <f>IFERROR(__xludf.DUMMYFUNCTION("GOOGLETRANSLATE(E1117, ""zh-CN"", ""en"")"),"Yilan County")</f>
        <v>Yilan County</v>
      </c>
      <c r="G1117" s="1">
        <v>2.30123E11</v>
      </c>
    </row>
    <row r="1118">
      <c r="A1118" s="1" t="s">
        <v>1005</v>
      </c>
      <c r="B1118" s="1" t="str">
        <f>IFERROR(__xludf.DUMMYFUNCTION("GOOGLETRANSLATE(A1044, ""zh-CN"", ""en"")"),"Jiangxi Province")</f>
        <v>Jiangxi Province</v>
      </c>
      <c r="C1118" s="1" t="s">
        <v>1006</v>
      </c>
      <c r="D1118" s="1" t="str">
        <f>IFERROR(__xludf.DUMMYFUNCTION("GOOGLETRANSLATE(C1118, ""zh-CN"", ""en"")"),"Harbin City")</f>
        <v>Harbin City</v>
      </c>
      <c r="E1118" s="1" t="s">
        <v>1029</v>
      </c>
      <c r="F1118" s="1" t="str">
        <f>IFERROR(__xludf.DUMMYFUNCTION("GOOGLETRANSLATE(E1118, ""zh-CN"", ""en"")"),"Fangzheng County")</f>
        <v>Fangzheng County</v>
      </c>
      <c r="G1118" s="1">
        <v>2.30124E11</v>
      </c>
    </row>
    <row r="1119">
      <c r="A1119" s="1" t="s">
        <v>1005</v>
      </c>
      <c r="B1119" s="1" t="str">
        <f>IFERROR(__xludf.DUMMYFUNCTION("GOOGLETRANSLATE(A1045, ""zh-CN"", ""en"")"),"Jiangxi Province")</f>
        <v>Jiangxi Province</v>
      </c>
      <c r="C1119" s="1" t="s">
        <v>1006</v>
      </c>
      <c r="D1119" s="1" t="str">
        <f>IFERROR(__xludf.DUMMYFUNCTION("GOOGLETRANSLATE(C1119, ""zh-CN"", ""en"")"),"Harbin City")</f>
        <v>Harbin City</v>
      </c>
      <c r="E1119" s="1" t="s">
        <v>1030</v>
      </c>
      <c r="F1119" s="1" t="str">
        <f>IFERROR(__xludf.DUMMYFUNCTION("GOOGLETRANSLATE(E1119, ""zh-CN"", ""en"")"),"County")</f>
        <v>County</v>
      </c>
      <c r="G1119" s="1">
        <v>2.30125E11</v>
      </c>
    </row>
    <row r="1120">
      <c r="A1120" s="1" t="s">
        <v>1005</v>
      </c>
      <c r="B1120" s="1" t="str">
        <f>IFERROR(__xludf.DUMMYFUNCTION("GOOGLETRANSLATE(A1046, ""zh-CN"", ""en"")"),"Jiangxi Province")</f>
        <v>Jiangxi Province</v>
      </c>
      <c r="C1120" s="1" t="s">
        <v>1006</v>
      </c>
      <c r="D1120" s="1" t="str">
        <f>IFERROR(__xludf.DUMMYFUNCTION("GOOGLETRANSLATE(C1120, ""zh-CN"", ""en"")"),"Harbin City")</f>
        <v>Harbin City</v>
      </c>
      <c r="E1120" s="1" t="s">
        <v>1031</v>
      </c>
      <c r="F1120" s="1" t="str">
        <f>IFERROR(__xludf.DUMMYFUNCTION("GOOGLETRANSLATE(E1120, ""zh-CN"", ""en"")"),"Bayan County")</f>
        <v>Bayan County</v>
      </c>
      <c r="G1120" s="1">
        <v>2.30126E11</v>
      </c>
    </row>
    <row r="1121">
      <c r="A1121" s="1" t="s">
        <v>1005</v>
      </c>
      <c r="B1121" s="1" t="str">
        <f>IFERROR(__xludf.DUMMYFUNCTION("GOOGLETRANSLATE(A1047, ""zh-CN"", ""en"")"),"Jiangxi Province")</f>
        <v>Jiangxi Province</v>
      </c>
      <c r="C1121" s="1" t="s">
        <v>1006</v>
      </c>
      <c r="D1121" s="1" t="str">
        <f>IFERROR(__xludf.DUMMYFUNCTION("GOOGLETRANSLATE(C1121, ""zh-CN"", ""en"")"),"Harbin City")</f>
        <v>Harbin City</v>
      </c>
      <c r="E1121" s="1" t="s">
        <v>1032</v>
      </c>
      <c r="F1121" s="1" t="str">
        <f>IFERROR(__xludf.DUMMYFUNCTION("GOOGLETRANSLATE(E1121, ""zh-CN"", ""en"")"),"Mulan County")</f>
        <v>Mulan County</v>
      </c>
      <c r="G1121" s="1">
        <v>2.30127E11</v>
      </c>
    </row>
    <row r="1122">
      <c r="A1122" s="1" t="s">
        <v>1005</v>
      </c>
      <c r="B1122" s="1" t="str">
        <f>IFERROR(__xludf.DUMMYFUNCTION("GOOGLETRANSLATE(A1048, ""zh-CN"", ""en"")"),"Jiangxi Province")</f>
        <v>Jiangxi Province</v>
      </c>
      <c r="C1122" s="1" t="s">
        <v>1006</v>
      </c>
      <c r="D1122" s="1" t="str">
        <f>IFERROR(__xludf.DUMMYFUNCTION("GOOGLETRANSLATE(C1122, ""zh-CN"", ""en"")"),"Harbin City")</f>
        <v>Harbin City</v>
      </c>
      <c r="E1122" s="1" t="s">
        <v>1033</v>
      </c>
      <c r="F1122" s="1" t="str">
        <f>IFERROR(__xludf.DUMMYFUNCTION("GOOGLETRANSLATE(E1122, ""zh-CN"", ""en"")"),"Tonghe County")</f>
        <v>Tonghe County</v>
      </c>
      <c r="G1122" s="1">
        <v>2.30128E11</v>
      </c>
    </row>
    <row r="1123">
      <c r="A1123" s="1" t="s">
        <v>1005</v>
      </c>
      <c r="B1123" s="1" t="str">
        <f>IFERROR(__xludf.DUMMYFUNCTION("GOOGLETRANSLATE(A1049, ""zh-CN"", ""en"")"),"Jiangxi Province")</f>
        <v>Jiangxi Province</v>
      </c>
      <c r="C1123" s="1" t="s">
        <v>1006</v>
      </c>
      <c r="D1123" s="1" t="str">
        <f>IFERROR(__xludf.DUMMYFUNCTION("GOOGLETRANSLATE(C1123, ""zh-CN"", ""en"")"),"Harbin City")</f>
        <v>Harbin City</v>
      </c>
      <c r="E1123" s="1" t="s">
        <v>1034</v>
      </c>
      <c r="F1123" s="1" t="str">
        <f>IFERROR(__xludf.DUMMYFUNCTION("GOOGLETRANSLATE(E1123, ""zh-CN"", ""en"")"),"Yanshou County")</f>
        <v>Yanshou County</v>
      </c>
      <c r="G1123" s="1">
        <v>2.30129E11</v>
      </c>
    </row>
    <row r="1124">
      <c r="A1124" s="1" t="s">
        <v>1005</v>
      </c>
      <c r="B1124" s="1" t="str">
        <f>IFERROR(__xludf.DUMMYFUNCTION("GOOGLETRANSLATE(A1050, ""zh-CN"", ""en"")"),"Jiangxi Province")</f>
        <v>Jiangxi Province</v>
      </c>
      <c r="C1124" s="1" t="s">
        <v>1006</v>
      </c>
      <c r="D1124" s="1" t="str">
        <f>IFERROR(__xludf.DUMMYFUNCTION("GOOGLETRANSLATE(C1124, ""zh-CN"", ""en"")"),"Harbin City")</f>
        <v>Harbin City</v>
      </c>
      <c r="E1124" s="1" t="s">
        <v>1035</v>
      </c>
      <c r="F1124" s="1" t="str">
        <f>IFERROR(__xludf.DUMMYFUNCTION("GOOGLETRANSLATE(E1124, ""zh-CN"", ""en"")"),"Shangzhi City")</f>
        <v>Shangzhi City</v>
      </c>
      <c r="G1124" s="1">
        <v>2.30183E11</v>
      </c>
    </row>
    <row r="1125">
      <c r="A1125" s="1" t="s">
        <v>1005</v>
      </c>
      <c r="B1125" s="1" t="str">
        <f>IFERROR(__xludf.DUMMYFUNCTION("GOOGLETRANSLATE(A1051, ""zh-CN"", ""en"")"),"Jiangxi Province")</f>
        <v>Jiangxi Province</v>
      </c>
      <c r="C1125" s="1" t="s">
        <v>1006</v>
      </c>
      <c r="D1125" s="1" t="str">
        <f>IFERROR(__xludf.DUMMYFUNCTION("GOOGLETRANSLATE(C1125, ""zh-CN"", ""en"")"),"Harbin City")</f>
        <v>Harbin City</v>
      </c>
      <c r="E1125" s="1" t="s">
        <v>1036</v>
      </c>
      <c r="F1125" s="1" t="str">
        <f>IFERROR(__xludf.DUMMYFUNCTION("GOOGLETRANSLATE(E1125, ""zh-CN"", ""en"")"),"Wuchang City")</f>
        <v>Wuchang City</v>
      </c>
      <c r="G1125" s="1">
        <v>2.30184E11</v>
      </c>
    </row>
    <row r="1126">
      <c r="A1126" s="1" t="s">
        <v>1005</v>
      </c>
      <c r="B1126" s="1" t="str">
        <f>IFERROR(__xludf.DUMMYFUNCTION("GOOGLETRANSLATE(A1052, ""zh-CN"", ""en"")"),"Jiangxi Province")</f>
        <v>Jiangxi Province</v>
      </c>
      <c r="C1126" s="1" t="s">
        <v>1007</v>
      </c>
      <c r="D1126" s="1" t="str">
        <f>IFERROR(__xludf.DUMMYFUNCTION("GOOGLETRANSLATE(C1126, ""zh-CN"", ""en"")"),"Qiqihar City")</f>
        <v>Qiqihar City</v>
      </c>
      <c r="E1126" s="1" t="s">
        <v>24</v>
      </c>
      <c r="F1126" s="1" t="str">
        <f>IFERROR(__xludf.DUMMYFUNCTION("GOOGLETRANSLATE(E1126, ""zh-CN"", ""en"")"),"City area")</f>
        <v>City area</v>
      </c>
      <c r="G1126" s="1">
        <v>2.30201E11</v>
      </c>
    </row>
    <row r="1127">
      <c r="A1127" s="1" t="s">
        <v>1005</v>
      </c>
      <c r="B1127" s="1" t="str">
        <f>IFERROR(__xludf.DUMMYFUNCTION("GOOGLETRANSLATE(A1053, ""zh-CN"", ""en"")"),"Jiangxi Province")</f>
        <v>Jiangxi Province</v>
      </c>
      <c r="C1127" s="1" t="s">
        <v>1007</v>
      </c>
      <c r="D1127" s="1" t="str">
        <f>IFERROR(__xludf.DUMMYFUNCTION("GOOGLETRANSLATE(C1127, ""zh-CN"", ""en"")"),"Qiqihar City")</f>
        <v>Qiqihar City</v>
      </c>
      <c r="E1127" s="1" t="s">
        <v>1037</v>
      </c>
      <c r="F1127" s="1" t="str">
        <f>IFERROR(__xludf.DUMMYFUNCTION("GOOGLETRANSLATE(E1127, ""zh-CN"", ""en"")"),"Longsha District")</f>
        <v>Longsha District</v>
      </c>
      <c r="G1127" s="1">
        <v>2.30202E11</v>
      </c>
    </row>
    <row r="1128">
      <c r="A1128" s="1" t="s">
        <v>1005</v>
      </c>
      <c r="B1128" s="1" t="str">
        <f>IFERROR(__xludf.DUMMYFUNCTION("GOOGLETRANSLATE(A1054, ""zh-CN"", ""en"")"),"Jiangxi Province")</f>
        <v>Jiangxi Province</v>
      </c>
      <c r="C1128" s="1" t="s">
        <v>1007</v>
      </c>
      <c r="D1128" s="1" t="str">
        <f>IFERROR(__xludf.DUMMYFUNCTION("GOOGLETRANSLATE(C1128, ""zh-CN"", ""en"")"),"Qiqihar City")</f>
        <v>Qiqihar City</v>
      </c>
      <c r="E1128" s="1" t="s">
        <v>1038</v>
      </c>
      <c r="F1128" s="1" t="str">
        <f>IFERROR(__xludf.DUMMYFUNCTION("GOOGLETRANSLATE(E1128, ""zh-CN"", ""en"")"),"Jianhua District")</f>
        <v>Jianhua District</v>
      </c>
      <c r="G1128" s="1">
        <v>2.30203E11</v>
      </c>
    </row>
    <row r="1129">
      <c r="A1129" s="1" t="s">
        <v>1005</v>
      </c>
      <c r="B1129" s="1" t="str">
        <f>IFERROR(__xludf.DUMMYFUNCTION("GOOGLETRANSLATE(A1055, ""zh-CN"", ""en"")"),"Jiangxi Province")</f>
        <v>Jiangxi Province</v>
      </c>
      <c r="C1129" s="1" t="s">
        <v>1007</v>
      </c>
      <c r="D1129" s="1" t="str">
        <f>IFERROR(__xludf.DUMMYFUNCTION("GOOGLETRANSLATE(C1129, ""zh-CN"", ""en"")"),"Qiqihar City")</f>
        <v>Qiqihar City</v>
      </c>
      <c r="E1129" s="1" t="s">
        <v>1039</v>
      </c>
      <c r="F1129" s="1" t="str">
        <f>IFERROR(__xludf.DUMMYFUNCTION("GOOGLETRANSLATE(E1129, ""zh-CN"", ""en"")"),"Tiefeng District")</f>
        <v>Tiefeng District</v>
      </c>
      <c r="G1129" s="1">
        <v>2.30204E11</v>
      </c>
    </row>
    <row r="1130">
      <c r="A1130" s="1" t="s">
        <v>1005</v>
      </c>
      <c r="B1130" s="1" t="str">
        <f>IFERROR(__xludf.DUMMYFUNCTION("GOOGLETRANSLATE(A1056, ""zh-CN"", ""en"")"),"Jiangxi Province")</f>
        <v>Jiangxi Province</v>
      </c>
      <c r="C1130" s="1" t="s">
        <v>1007</v>
      </c>
      <c r="D1130" s="1" t="str">
        <f>IFERROR(__xludf.DUMMYFUNCTION("GOOGLETRANSLATE(C1130, ""zh-CN"", ""en"")"),"Qiqihar City")</f>
        <v>Qiqihar City</v>
      </c>
      <c r="E1130" s="1" t="s">
        <v>1040</v>
      </c>
      <c r="F1130" s="1" t="str">
        <f>IFERROR(__xludf.DUMMYFUNCTION("GOOGLETRANSLATE(E1130, ""zh-CN"", ""en"")"),"Angangxi District")</f>
        <v>Angangxi District</v>
      </c>
      <c r="G1130" s="1">
        <v>2.30205E11</v>
      </c>
    </row>
    <row r="1131">
      <c r="A1131" s="1" t="s">
        <v>1005</v>
      </c>
      <c r="B1131" s="1" t="str">
        <f>IFERROR(__xludf.DUMMYFUNCTION("GOOGLETRANSLATE(A1057, ""zh-CN"", ""en"")"),"Jiangxi Province")</f>
        <v>Jiangxi Province</v>
      </c>
      <c r="C1131" s="1" t="s">
        <v>1007</v>
      </c>
      <c r="D1131" s="1" t="str">
        <f>IFERROR(__xludf.DUMMYFUNCTION("GOOGLETRANSLATE(C1131, ""zh-CN"", ""en"")"),"Qiqihar City")</f>
        <v>Qiqihar City</v>
      </c>
      <c r="E1131" s="1" t="s">
        <v>1041</v>
      </c>
      <c r="F1131" s="1" t="str">
        <f>IFERROR(__xludf.DUMMYFUNCTION("GOOGLETRANSLATE(E1131, ""zh-CN"", ""en"")"),"Forayki District")</f>
        <v>Forayki District</v>
      </c>
      <c r="G1131" s="1">
        <v>2.30206E11</v>
      </c>
    </row>
    <row r="1132">
      <c r="A1132" s="1" t="s">
        <v>1005</v>
      </c>
      <c r="B1132" s="1" t="str">
        <f>IFERROR(__xludf.DUMMYFUNCTION("GOOGLETRANSLATE(A1058, ""zh-CN"", ""en"")"),"Jiangxi Province")</f>
        <v>Jiangxi Province</v>
      </c>
      <c r="C1132" s="1" t="s">
        <v>1007</v>
      </c>
      <c r="D1132" s="1" t="str">
        <f>IFERROR(__xludf.DUMMYFUNCTION("GOOGLETRANSLATE(C1132, ""zh-CN"", ""en"")"),"Qiqihar City")</f>
        <v>Qiqihar City</v>
      </c>
      <c r="E1132" s="1" t="s">
        <v>1042</v>
      </c>
      <c r="F1132" s="1" t="str">
        <f>IFERROR(__xludf.DUMMYFUNCTION("GOOGLETRANSLATE(E1132, ""zh-CN"", ""en"")"),"Musch Mountain")</f>
        <v>Musch Mountain</v>
      </c>
      <c r="G1132" s="1">
        <v>2.30207E11</v>
      </c>
    </row>
    <row r="1133">
      <c r="A1133" s="1" t="s">
        <v>1005</v>
      </c>
      <c r="B1133" s="1" t="str">
        <f>IFERROR(__xludf.DUMMYFUNCTION("GOOGLETRANSLATE(A1059, ""zh-CN"", ""en"")"),"Jiangxi Province")</f>
        <v>Jiangxi Province</v>
      </c>
      <c r="C1133" s="1" t="s">
        <v>1007</v>
      </c>
      <c r="D1133" s="1" t="str">
        <f>IFERROR(__xludf.DUMMYFUNCTION("GOOGLETRANSLATE(C1133, ""zh-CN"", ""en"")"),"Qiqihar City")</f>
        <v>Qiqihar City</v>
      </c>
      <c r="E1133" s="1" t="s">
        <v>1043</v>
      </c>
      <c r="F1133" s="1" t="str">
        <f>IFERROR(__xludf.DUMMYFUNCTION("GOOGLETRANSLATE(E1133, ""zh-CN"", ""en"")"),"Merris Da Duren District")</f>
        <v>Merris Da Duren District</v>
      </c>
      <c r="G1133" s="1">
        <v>2.30208E11</v>
      </c>
    </row>
    <row r="1134">
      <c r="A1134" s="1" t="s">
        <v>1005</v>
      </c>
      <c r="B1134" s="1" t="str">
        <f>IFERROR(__xludf.DUMMYFUNCTION("GOOGLETRANSLATE(A1060, ""zh-CN"", ""en"")"),"Jiangxi Province")</f>
        <v>Jiangxi Province</v>
      </c>
      <c r="C1134" s="1" t="s">
        <v>1007</v>
      </c>
      <c r="D1134" s="1" t="str">
        <f>IFERROR(__xludf.DUMMYFUNCTION("GOOGLETRANSLATE(C1134, ""zh-CN"", ""en"")"),"Qiqihar City")</f>
        <v>Qiqihar City</v>
      </c>
      <c r="E1134" s="1" t="s">
        <v>1044</v>
      </c>
      <c r="F1134" s="1" t="str">
        <f>IFERROR(__xludf.DUMMYFUNCTION("GOOGLETRANSLATE(E1134, ""zh-CN"", ""en"")"),"Longjiang County")</f>
        <v>Longjiang County</v>
      </c>
      <c r="G1134" s="1">
        <v>2.30221E11</v>
      </c>
    </row>
    <row r="1135">
      <c r="A1135" s="1" t="s">
        <v>1005</v>
      </c>
      <c r="B1135" s="1" t="str">
        <f>IFERROR(__xludf.DUMMYFUNCTION("GOOGLETRANSLATE(A1061, ""zh-CN"", ""en"")"),"Jiangxi Province")</f>
        <v>Jiangxi Province</v>
      </c>
      <c r="C1135" s="1" t="s">
        <v>1007</v>
      </c>
      <c r="D1135" s="1" t="str">
        <f>IFERROR(__xludf.DUMMYFUNCTION("GOOGLETRANSLATE(C1135, ""zh-CN"", ""en"")"),"Qiqihar City")</f>
        <v>Qiqihar City</v>
      </c>
      <c r="E1135" s="1" t="s">
        <v>1045</v>
      </c>
      <c r="F1135" s="1" t="str">
        <f>IFERROR(__xludf.DUMMYFUNCTION("GOOGLETRANSLATE(E1135, ""zh-CN"", ""en"")"),"Yi'an County")</f>
        <v>Yi'an County</v>
      </c>
      <c r="G1135" s="1">
        <v>2.30223E11</v>
      </c>
    </row>
    <row r="1136">
      <c r="A1136" s="1" t="s">
        <v>1005</v>
      </c>
      <c r="B1136" s="1" t="str">
        <f>IFERROR(__xludf.DUMMYFUNCTION("GOOGLETRANSLATE(A1062, ""zh-CN"", ""en"")"),"Jiangxi Province")</f>
        <v>Jiangxi Province</v>
      </c>
      <c r="C1136" s="1" t="s">
        <v>1007</v>
      </c>
      <c r="D1136" s="1" t="str">
        <f>IFERROR(__xludf.DUMMYFUNCTION("GOOGLETRANSLATE(C1136, ""zh-CN"", ""en"")"),"Qiqihar City")</f>
        <v>Qiqihar City</v>
      </c>
      <c r="E1136" s="1" t="s">
        <v>1046</v>
      </c>
      <c r="F1136" s="1" t="str">
        <f>IFERROR(__xludf.DUMMYFUNCTION("GOOGLETRANSLATE(E1136, ""zh-CN"", ""en"")"),"Tailai County")</f>
        <v>Tailai County</v>
      </c>
      <c r="G1136" s="1">
        <v>2.30224E11</v>
      </c>
    </row>
    <row r="1137">
      <c r="A1137" s="1" t="s">
        <v>1005</v>
      </c>
      <c r="B1137" s="1" t="str">
        <f>IFERROR(__xludf.DUMMYFUNCTION("GOOGLETRANSLATE(A1063, ""zh-CN"", ""en"")"),"Jiangxi Province")</f>
        <v>Jiangxi Province</v>
      </c>
      <c r="C1137" s="1" t="s">
        <v>1007</v>
      </c>
      <c r="D1137" s="1" t="str">
        <f>IFERROR(__xludf.DUMMYFUNCTION("GOOGLETRANSLATE(C1137, ""zh-CN"", ""en"")"),"Qiqihar City")</f>
        <v>Qiqihar City</v>
      </c>
      <c r="E1137" s="1" t="s">
        <v>1047</v>
      </c>
      <c r="F1137" s="1" t="str">
        <f>IFERROR(__xludf.DUMMYFUNCTION("GOOGLETRANSLATE(E1137, ""zh-CN"", ""en"")"),"Gannan County")</f>
        <v>Gannan County</v>
      </c>
      <c r="G1137" s="1">
        <v>2.30225E11</v>
      </c>
    </row>
    <row r="1138">
      <c r="A1138" s="1" t="s">
        <v>1005</v>
      </c>
      <c r="B1138" s="1" t="str">
        <f>IFERROR(__xludf.DUMMYFUNCTION("GOOGLETRANSLATE(A1064, ""zh-CN"", ""en"")"),"Jiangxi Province")</f>
        <v>Jiangxi Province</v>
      </c>
      <c r="C1138" s="1" t="s">
        <v>1007</v>
      </c>
      <c r="D1138" s="1" t="str">
        <f>IFERROR(__xludf.DUMMYFUNCTION("GOOGLETRANSLATE(C1138, ""zh-CN"", ""en"")"),"Qiqihar City")</f>
        <v>Qiqihar City</v>
      </c>
      <c r="E1138" s="1" t="s">
        <v>1048</v>
      </c>
      <c r="F1138" s="1" t="str">
        <f>IFERROR(__xludf.DUMMYFUNCTION("GOOGLETRANSLATE(E1138, ""zh-CN"", ""en"")"),"Wealthy county")</f>
        <v>Wealthy county</v>
      </c>
      <c r="G1138" s="1">
        <v>2.30227E11</v>
      </c>
    </row>
    <row r="1139">
      <c r="A1139" s="1" t="s">
        <v>1005</v>
      </c>
      <c r="B1139" s="1" t="str">
        <f>IFERROR(__xludf.DUMMYFUNCTION("GOOGLETRANSLATE(A1065, ""zh-CN"", ""en"")"),"Jiangxi Province")</f>
        <v>Jiangxi Province</v>
      </c>
      <c r="C1139" s="1" t="s">
        <v>1007</v>
      </c>
      <c r="D1139" s="1" t="str">
        <f>IFERROR(__xludf.DUMMYFUNCTION("GOOGLETRANSLATE(C1139, ""zh-CN"", ""en"")"),"Qiqihar City")</f>
        <v>Qiqihar City</v>
      </c>
      <c r="E1139" s="1" t="s">
        <v>1049</v>
      </c>
      <c r="F1139" s="1" t="str">
        <f>IFERROR(__xludf.DUMMYFUNCTION("GOOGLETRANSLATE(E1139, ""zh-CN"", ""en"")"),"Keshan County")</f>
        <v>Keshan County</v>
      </c>
      <c r="G1139" s="1">
        <v>2.30229E11</v>
      </c>
    </row>
    <row r="1140">
      <c r="A1140" s="1" t="s">
        <v>1005</v>
      </c>
      <c r="B1140" s="1" t="str">
        <f>IFERROR(__xludf.DUMMYFUNCTION("GOOGLETRANSLATE(A1066, ""zh-CN"", ""en"")"),"Jiangxi Province")</f>
        <v>Jiangxi Province</v>
      </c>
      <c r="C1140" s="1" t="s">
        <v>1007</v>
      </c>
      <c r="D1140" s="1" t="str">
        <f>IFERROR(__xludf.DUMMYFUNCTION("GOOGLETRANSLATE(C1140, ""zh-CN"", ""en"")"),"Qiqihar City")</f>
        <v>Qiqihar City</v>
      </c>
      <c r="E1140" s="1" t="s">
        <v>1050</v>
      </c>
      <c r="F1140" s="1" t="str">
        <f>IFERROR(__xludf.DUMMYFUNCTION("GOOGLETRANSLATE(E1140, ""zh-CN"", ""en"")"),"Kidong County")</f>
        <v>Kidong County</v>
      </c>
      <c r="G1140" s="1">
        <v>2.3023E11</v>
      </c>
    </row>
    <row r="1141">
      <c r="A1141" s="1" t="s">
        <v>1005</v>
      </c>
      <c r="B1141" s="1" t="str">
        <f>IFERROR(__xludf.DUMMYFUNCTION("GOOGLETRANSLATE(A1067, ""zh-CN"", ""en"")"),"Jiangxi Province")</f>
        <v>Jiangxi Province</v>
      </c>
      <c r="C1141" s="1" t="s">
        <v>1007</v>
      </c>
      <c r="D1141" s="1" t="str">
        <f>IFERROR(__xludf.DUMMYFUNCTION("GOOGLETRANSLATE(C1141, ""zh-CN"", ""en"")"),"Qiqihar City")</f>
        <v>Qiqihar City</v>
      </c>
      <c r="E1141" s="1" t="s">
        <v>1051</v>
      </c>
      <c r="F1141" s="1" t="str">
        <f>IFERROR(__xludf.DUMMYFUNCTION("GOOGLETRANSLATE(E1141, ""zh-CN"", ""en"")"),"Baiquan County")</f>
        <v>Baiquan County</v>
      </c>
      <c r="G1141" s="1">
        <v>2.30231E11</v>
      </c>
    </row>
    <row r="1142">
      <c r="A1142" s="1" t="s">
        <v>1005</v>
      </c>
      <c r="B1142" s="1" t="str">
        <f>IFERROR(__xludf.DUMMYFUNCTION("GOOGLETRANSLATE(A1068, ""zh-CN"", ""en"")"),"Jiangxi Province")</f>
        <v>Jiangxi Province</v>
      </c>
      <c r="C1142" s="1" t="s">
        <v>1007</v>
      </c>
      <c r="D1142" s="1" t="str">
        <f>IFERROR(__xludf.DUMMYFUNCTION("GOOGLETRANSLATE(C1142, ""zh-CN"", ""en"")"),"Qiqihar City")</f>
        <v>Qiqihar City</v>
      </c>
      <c r="E1142" s="1" t="s">
        <v>1052</v>
      </c>
      <c r="F1142" s="1" t="str">
        <f>IFERROR(__xludf.DUMMYFUNCTION("GOOGLETRANSLATE(E1142, ""zh-CN"", ""en"")"),"Neohe City")</f>
        <v>Neohe City</v>
      </c>
      <c r="G1142" s="1">
        <v>2.30281E11</v>
      </c>
    </row>
    <row r="1143">
      <c r="A1143" s="1" t="s">
        <v>1005</v>
      </c>
      <c r="B1143" s="1" t="str">
        <f>IFERROR(__xludf.DUMMYFUNCTION("GOOGLETRANSLATE(A1069, ""zh-CN"", ""en"")"),"Jiangxi Province")</f>
        <v>Jiangxi Province</v>
      </c>
      <c r="C1143" s="1" t="s">
        <v>1008</v>
      </c>
      <c r="D1143" s="1" t="str">
        <f>IFERROR(__xludf.DUMMYFUNCTION("GOOGLETRANSLATE(C1143, ""zh-CN"", ""en"")"),"Jixi City")</f>
        <v>Jixi City</v>
      </c>
      <c r="E1143" s="1" t="s">
        <v>24</v>
      </c>
      <c r="F1143" s="1" t="str">
        <f>IFERROR(__xludf.DUMMYFUNCTION("GOOGLETRANSLATE(E1143, ""zh-CN"", ""en"")"),"City area")</f>
        <v>City area</v>
      </c>
      <c r="G1143" s="1">
        <v>2.30301E11</v>
      </c>
    </row>
    <row r="1144">
      <c r="A1144" s="1" t="s">
        <v>1005</v>
      </c>
      <c r="B1144" s="1" t="str">
        <f>IFERROR(__xludf.DUMMYFUNCTION("GOOGLETRANSLATE(A1070, ""zh-CN"", ""en"")"),"Jiangxi Province")</f>
        <v>Jiangxi Province</v>
      </c>
      <c r="C1144" s="1" t="s">
        <v>1008</v>
      </c>
      <c r="D1144" s="1" t="str">
        <f>IFERROR(__xludf.DUMMYFUNCTION("GOOGLETRANSLATE(C1144, ""zh-CN"", ""en"")"),"Jixi City")</f>
        <v>Jixi City</v>
      </c>
      <c r="E1144" s="1" t="s">
        <v>1053</v>
      </c>
      <c r="F1144" s="1" t="str">
        <f>IFERROR(__xludf.DUMMYFUNCTION("GOOGLETRANSLATE(E1144, ""zh-CN"", ""en"")"),"Cockle")</f>
        <v>Cockle</v>
      </c>
      <c r="G1144" s="1">
        <v>2.30302E11</v>
      </c>
    </row>
    <row r="1145">
      <c r="A1145" s="1" t="s">
        <v>1005</v>
      </c>
      <c r="B1145" s="1" t="str">
        <f>IFERROR(__xludf.DUMMYFUNCTION("GOOGLETRANSLATE(A1071, ""zh-CN"", ""en"")"),"Jiangxi Province")</f>
        <v>Jiangxi Province</v>
      </c>
      <c r="C1145" s="1" t="s">
        <v>1008</v>
      </c>
      <c r="D1145" s="1" t="str">
        <f>IFERROR(__xludf.DUMMYFUNCTION("GOOGLETRANSLATE(C1145, ""zh-CN"", ""en"")"),"Jixi City")</f>
        <v>Jixi City</v>
      </c>
      <c r="E1145" s="1" t="s">
        <v>1054</v>
      </c>
      <c r="F1145" s="1" t="str">
        <f>IFERROR(__xludf.DUMMYFUNCTION("GOOGLETRANSLATE(E1145, ""zh-CN"", ""en"")"),"Hengshan District")</f>
        <v>Hengshan District</v>
      </c>
      <c r="G1145" s="1">
        <v>2.30303E11</v>
      </c>
    </row>
    <row r="1146">
      <c r="A1146" s="1" t="s">
        <v>1005</v>
      </c>
      <c r="B1146" s="1" t="str">
        <f>IFERROR(__xludf.DUMMYFUNCTION("GOOGLETRANSLATE(A1072, ""zh-CN"", ""en"")"),"Jiangxi Province")</f>
        <v>Jiangxi Province</v>
      </c>
      <c r="C1146" s="1" t="s">
        <v>1008</v>
      </c>
      <c r="D1146" s="1" t="str">
        <f>IFERROR(__xludf.DUMMYFUNCTION("GOOGLETRANSLATE(C1146, ""zh-CN"", ""en"")"),"Jixi City")</f>
        <v>Jixi City</v>
      </c>
      <c r="E1146" s="1" t="s">
        <v>1055</v>
      </c>
      <c r="F1146" s="1" t="str">
        <f>IFERROR(__xludf.DUMMYFUNCTION("GOOGLETRANSLATE(E1146, ""zh-CN"", ""en"")"),"Di Dao District")</f>
        <v>Di Dao District</v>
      </c>
      <c r="G1146" s="1">
        <v>2.30304E11</v>
      </c>
    </row>
    <row r="1147">
      <c r="A1147" s="1" t="s">
        <v>1005</v>
      </c>
      <c r="B1147" s="1" t="str">
        <f>IFERROR(__xludf.DUMMYFUNCTION("GOOGLETRANSLATE(A1073, ""zh-CN"", ""en"")"),"Jiangxi Province")</f>
        <v>Jiangxi Province</v>
      </c>
      <c r="C1147" s="1" t="s">
        <v>1008</v>
      </c>
      <c r="D1147" s="1" t="str">
        <f>IFERROR(__xludf.DUMMYFUNCTION("GOOGLETRANSLATE(C1147, ""zh-CN"", ""en"")"),"Jixi City")</f>
        <v>Jixi City</v>
      </c>
      <c r="E1147" s="1" t="s">
        <v>1056</v>
      </c>
      <c r="F1147" s="1" t="str">
        <f>IFERROR(__xludf.DUMMYFUNCTION("GOOGLETRANSLATE(E1147, ""zh-CN"", ""en"")"),"Pear tree area")</f>
        <v>Pear tree area</v>
      </c>
      <c r="G1147" s="1">
        <v>2.30305E11</v>
      </c>
    </row>
    <row r="1148">
      <c r="A1148" s="1" t="s">
        <v>1005</v>
      </c>
      <c r="B1148" s="1" t="str">
        <f>IFERROR(__xludf.DUMMYFUNCTION("GOOGLETRANSLATE(A1074, ""zh-CN"", ""en"")"),"Jiangxi Province")</f>
        <v>Jiangxi Province</v>
      </c>
      <c r="C1148" s="1" t="s">
        <v>1008</v>
      </c>
      <c r="D1148" s="1" t="str">
        <f>IFERROR(__xludf.DUMMYFUNCTION("GOOGLETRANSLATE(C1148, ""zh-CN"", ""en"")"),"Jixi City")</f>
        <v>Jixi City</v>
      </c>
      <c r="E1148" s="1" t="s">
        <v>1057</v>
      </c>
      <c r="F1148" s="1" t="str">
        <f>IFERROR(__xludf.DUMMYFUNCTION("GOOGLETRANSLATE(E1148, ""zh-CN"", ""en"")"),"Chengzihe District")</f>
        <v>Chengzihe District</v>
      </c>
      <c r="G1148" s="1">
        <v>2.30306E11</v>
      </c>
    </row>
    <row r="1149">
      <c r="A1149" s="1" t="s">
        <v>1005</v>
      </c>
      <c r="B1149" s="1" t="str">
        <f>IFERROR(__xludf.DUMMYFUNCTION("GOOGLETRANSLATE(A1075, ""zh-CN"", ""en"")"),"Jiangxi Province")</f>
        <v>Jiangxi Province</v>
      </c>
      <c r="C1149" s="1" t="s">
        <v>1008</v>
      </c>
      <c r="D1149" s="1" t="str">
        <f>IFERROR(__xludf.DUMMYFUNCTION("GOOGLETRANSLATE(C1149, ""zh-CN"", ""en"")"),"Jixi City")</f>
        <v>Jixi City</v>
      </c>
      <c r="E1149" s="1" t="s">
        <v>1058</v>
      </c>
      <c r="F1149" s="1" t="str">
        <f>IFERROR(__xludf.DUMMYFUNCTION("GOOGLETRANSLATE(E1149, ""zh-CN"", ""en"")"),"Mashan District")</f>
        <v>Mashan District</v>
      </c>
      <c r="G1149" s="1">
        <v>2.30307E11</v>
      </c>
    </row>
    <row r="1150">
      <c r="A1150" s="1" t="s">
        <v>1005</v>
      </c>
      <c r="B1150" s="1" t="str">
        <f>IFERROR(__xludf.DUMMYFUNCTION("GOOGLETRANSLATE(A1076, ""zh-CN"", ""en"")"),"Jiangxi Province")</f>
        <v>Jiangxi Province</v>
      </c>
      <c r="C1150" s="1" t="s">
        <v>1008</v>
      </c>
      <c r="D1150" s="1" t="str">
        <f>IFERROR(__xludf.DUMMYFUNCTION("GOOGLETRANSLATE(C1150, ""zh-CN"", ""en"")"),"Jixi City")</f>
        <v>Jixi City</v>
      </c>
      <c r="E1150" s="1" t="s">
        <v>1059</v>
      </c>
      <c r="F1150" s="1" t="str">
        <f>IFERROR(__xludf.DUMMYFUNCTION("GOOGLETRANSLATE(E1150, ""zh-CN"", ""en"")"),"Jidong County")</f>
        <v>Jidong County</v>
      </c>
      <c r="G1150" s="1">
        <v>2.30321E11</v>
      </c>
    </row>
    <row r="1151">
      <c r="A1151" s="1" t="s">
        <v>1005</v>
      </c>
      <c r="B1151" s="1" t="str">
        <f>IFERROR(__xludf.DUMMYFUNCTION("GOOGLETRANSLATE(A1077, ""zh-CN"", ""en"")"),"Jiangxi Province")</f>
        <v>Jiangxi Province</v>
      </c>
      <c r="C1151" s="1" t="s">
        <v>1008</v>
      </c>
      <c r="D1151" s="1" t="str">
        <f>IFERROR(__xludf.DUMMYFUNCTION("GOOGLETRANSLATE(C1151, ""zh-CN"", ""en"")"),"Jixi City")</f>
        <v>Jixi City</v>
      </c>
      <c r="E1151" s="1" t="s">
        <v>1060</v>
      </c>
      <c r="F1151" s="1" t="str">
        <f>IFERROR(__xludf.DUMMYFUNCTION("GOOGLETRANSLATE(E1151, ""zh-CN"", ""en"")"),"Huilin City")</f>
        <v>Huilin City</v>
      </c>
      <c r="G1151" s="1">
        <v>2.30381E11</v>
      </c>
    </row>
    <row r="1152">
      <c r="A1152" s="1" t="s">
        <v>1005</v>
      </c>
      <c r="B1152" s="1" t="str">
        <f>IFERROR(__xludf.DUMMYFUNCTION("GOOGLETRANSLATE(A1078, ""zh-CN"", ""en"")"),"Jiangxi Province")</f>
        <v>Jiangxi Province</v>
      </c>
      <c r="C1152" s="1" t="s">
        <v>1008</v>
      </c>
      <c r="D1152" s="1" t="str">
        <f>IFERROR(__xludf.DUMMYFUNCTION("GOOGLETRANSLATE(C1152, ""zh-CN"", ""en"")"),"Jixi City")</f>
        <v>Jixi City</v>
      </c>
      <c r="E1152" s="1" t="s">
        <v>1061</v>
      </c>
      <c r="F1152" s="1" t="str">
        <f>IFERROR(__xludf.DUMMYFUNCTION("GOOGLETRANSLATE(E1152, ""zh-CN"", ""en"")"),"Miyama City")</f>
        <v>Miyama City</v>
      </c>
      <c r="G1152" s="1">
        <v>2.30382E11</v>
      </c>
    </row>
    <row r="1153">
      <c r="A1153" s="1" t="s">
        <v>1005</v>
      </c>
      <c r="B1153" s="1" t="str">
        <f>IFERROR(__xludf.DUMMYFUNCTION("GOOGLETRANSLATE(A1079, ""zh-CN"", ""en"")"),"Jiangxi Province")</f>
        <v>Jiangxi Province</v>
      </c>
      <c r="C1153" s="1" t="s">
        <v>1009</v>
      </c>
      <c r="D1153" s="1" t="str">
        <f>IFERROR(__xludf.DUMMYFUNCTION("GOOGLETRANSLATE(C1153, ""zh-CN"", ""en"")"),"Hegang City")</f>
        <v>Hegang City</v>
      </c>
      <c r="E1153" s="1" t="s">
        <v>24</v>
      </c>
      <c r="F1153" s="1" t="str">
        <f>IFERROR(__xludf.DUMMYFUNCTION("GOOGLETRANSLATE(E1153, ""zh-CN"", ""en"")"),"City area")</f>
        <v>City area</v>
      </c>
      <c r="G1153" s="1">
        <v>2.30401E11</v>
      </c>
    </row>
    <row r="1154">
      <c r="A1154" s="1" t="s">
        <v>1005</v>
      </c>
      <c r="B1154" s="1" t="str">
        <f>IFERROR(__xludf.DUMMYFUNCTION("GOOGLETRANSLATE(A1080, ""zh-CN"", ""en"")"),"Jiangxi Province")</f>
        <v>Jiangxi Province</v>
      </c>
      <c r="C1154" s="1" t="s">
        <v>1009</v>
      </c>
      <c r="D1154" s="1" t="str">
        <f>IFERROR(__xludf.DUMMYFUNCTION("GOOGLETRANSLATE(C1154, ""zh-CN"", ""en"")"),"Hegang City")</f>
        <v>Hegang City</v>
      </c>
      <c r="E1154" s="1" t="s">
        <v>1062</v>
      </c>
      <c r="F1154" s="1" t="str">
        <f>IFERROR(__xludf.DUMMYFUNCTION("GOOGLETRANSLATE(E1154, ""zh-CN"", ""en"")"),"Xiangyang District")</f>
        <v>Xiangyang District</v>
      </c>
      <c r="G1154" s="1">
        <v>2.30402E11</v>
      </c>
    </row>
    <row r="1155">
      <c r="A1155" s="1" t="s">
        <v>1005</v>
      </c>
      <c r="B1155" s="1" t="str">
        <f>IFERROR(__xludf.DUMMYFUNCTION("GOOGLETRANSLATE(A1081, ""zh-CN"", ""en"")"),"Jiangxi Province")</f>
        <v>Jiangxi Province</v>
      </c>
      <c r="C1155" s="1" t="s">
        <v>1009</v>
      </c>
      <c r="D1155" s="1" t="str">
        <f>IFERROR(__xludf.DUMMYFUNCTION("GOOGLETRANSLATE(C1155, ""zh-CN"", ""en"")"),"Hegang City")</f>
        <v>Hegang City</v>
      </c>
      <c r="E1155" s="1" t="s">
        <v>1063</v>
      </c>
      <c r="F1155" s="1" t="str">
        <f>IFERROR(__xludf.DUMMYFUNCTION("GOOGLETRANSLATE(E1155, ""zh-CN"", ""en"")"),"Workers and farmers")</f>
        <v>Workers and farmers</v>
      </c>
      <c r="G1155" s="1">
        <v>2.30403E11</v>
      </c>
    </row>
    <row r="1156">
      <c r="A1156" s="1" t="s">
        <v>1005</v>
      </c>
      <c r="B1156" s="1" t="str">
        <f>IFERROR(__xludf.DUMMYFUNCTION("GOOGLETRANSLATE(A1082, ""zh-CN"", ""en"")"),"Jiangxi Province")</f>
        <v>Jiangxi Province</v>
      </c>
      <c r="C1156" s="1" t="s">
        <v>1009</v>
      </c>
      <c r="D1156" s="1" t="str">
        <f>IFERROR(__xludf.DUMMYFUNCTION("GOOGLETRANSLATE(C1156, ""zh-CN"", ""en"")"),"Hegang City")</f>
        <v>Hegang City</v>
      </c>
      <c r="E1156" s="1" t="s">
        <v>768</v>
      </c>
      <c r="F1156" s="1" t="str">
        <f>IFERROR(__xludf.DUMMYFUNCTION("GOOGLETRANSLATE(E1156, ""zh-CN"", ""en"")"),"Nanshan District")</f>
        <v>Nanshan District</v>
      </c>
      <c r="G1156" s="1">
        <v>2.30404E11</v>
      </c>
    </row>
    <row r="1157">
      <c r="A1157" s="1" t="s">
        <v>1005</v>
      </c>
      <c r="B1157" s="1" t="str">
        <f>IFERROR(__xludf.DUMMYFUNCTION("GOOGLETRANSLATE(A1083, ""zh-CN"", ""en"")"),"Jiangxi Province")</f>
        <v>Jiangxi Province</v>
      </c>
      <c r="C1157" s="1" t="s">
        <v>1009</v>
      </c>
      <c r="D1157" s="1" t="str">
        <f>IFERROR(__xludf.DUMMYFUNCTION("GOOGLETRANSLATE(C1157, ""zh-CN"", ""en"")"),"Hegang City")</f>
        <v>Hegang City</v>
      </c>
      <c r="E1157" s="1" t="s">
        <v>1064</v>
      </c>
      <c r="F1157" s="1" t="str">
        <f>IFERROR(__xludf.DUMMYFUNCTION("GOOGLETRANSLATE(E1157, ""zh-CN"", ""en"")"),"Xing'an District")</f>
        <v>Xing'an District</v>
      </c>
      <c r="G1157" s="1">
        <v>2.30405E11</v>
      </c>
    </row>
    <row r="1158">
      <c r="A1158" s="1" t="s">
        <v>1005</v>
      </c>
      <c r="B1158" s="1" t="str">
        <f>IFERROR(__xludf.DUMMYFUNCTION("GOOGLETRANSLATE(A1084, ""zh-CN"", ""en"")"),"Jiangxi Province")</f>
        <v>Jiangxi Province</v>
      </c>
      <c r="C1158" s="1" t="s">
        <v>1009</v>
      </c>
      <c r="D1158" s="1" t="str">
        <f>IFERROR(__xludf.DUMMYFUNCTION("GOOGLETRANSLATE(C1158, ""zh-CN"", ""en"")"),"Hegang City")</f>
        <v>Hegang City</v>
      </c>
      <c r="E1158" s="1" t="s">
        <v>1065</v>
      </c>
      <c r="F1158" s="1" t="str">
        <f>IFERROR(__xludf.DUMMYFUNCTION("GOOGLETRANSLATE(E1158, ""zh-CN"", ""en"")"),"Dongshan District")</f>
        <v>Dongshan District</v>
      </c>
      <c r="G1158" s="1">
        <v>2.30406E11</v>
      </c>
    </row>
    <row r="1159">
      <c r="A1159" s="1" t="s">
        <v>1005</v>
      </c>
      <c r="B1159" s="1" t="str">
        <f>IFERROR(__xludf.DUMMYFUNCTION("GOOGLETRANSLATE(A1085, ""zh-CN"", ""en"")"),"Jiangxi Province")</f>
        <v>Jiangxi Province</v>
      </c>
      <c r="C1159" s="1" t="s">
        <v>1009</v>
      </c>
      <c r="D1159" s="1" t="str">
        <f>IFERROR(__xludf.DUMMYFUNCTION("GOOGLETRANSLATE(C1159, ""zh-CN"", ""en"")"),"Hegang City")</f>
        <v>Hegang City</v>
      </c>
      <c r="E1159" s="1" t="s">
        <v>1066</v>
      </c>
      <c r="F1159" s="1" t="str">
        <f>IFERROR(__xludf.DUMMYFUNCTION("GOOGLETRANSLATE(E1159, ""zh-CN"", ""en"")"),"Xingshan District")</f>
        <v>Xingshan District</v>
      </c>
      <c r="G1159" s="1">
        <v>2.30407E11</v>
      </c>
    </row>
    <row r="1160">
      <c r="A1160" s="1" t="s">
        <v>1005</v>
      </c>
      <c r="B1160" s="1" t="str">
        <f>IFERROR(__xludf.DUMMYFUNCTION("GOOGLETRANSLATE(A1086, ""zh-CN"", ""en"")"),"Jiangxi Province")</f>
        <v>Jiangxi Province</v>
      </c>
      <c r="C1160" s="1" t="s">
        <v>1009</v>
      </c>
      <c r="D1160" s="1" t="str">
        <f>IFERROR(__xludf.DUMMYFUNCTION("GOOGLETRANSLATE(C1160, ""zh-CN"", ""en"")"),"Hegang City")</f>
        <v>Hegang City</v>
      </c>
      <c r="E1160" s="1" t="s">
        <v>1067</v>
      </c>
      <c r="F1160" s="1" t="str">
        <f>IFERROR(__xludf.DUMMYFUNCTION("GOOGLETRANSLATE(E1160, ""zh-CN"", ""en"")"),"Luobei County")</f>
        <v>Luobei County</v>
      </c>
      <c r="G1160" s="1">
        <v>2.30421E11</v>
      </c>
    </row>
    <row r="1161">
      <c r="A1161" s="1" t="s">
        <v>1005</v>
      </c>
      <c r="B1161" s="1" t="str">
        <f>IFERROR(__xludf.DUMMYFUNCTION("GOOGLETRANSLATE(A1087, ""zh-CN"", ""en"")"),"Jiangxi Province")</f>
        <v>Jiangxi Province</v>
      </c>
      <c r="C1161" s="1" t="s">
        <v>1009</v>
      </c>
      <c r="D1161" s="1" t="str">
        <f>IFERROR(__xludf.DUMMYFUNCTION("GOOGLETRANSLATE(C1161, ""zh-CN"", ""en"")"),"Hegang City")</f>
        <v>Hegang City</v>
      </c>
      <c r="E1161" s="1" t="s">
        <v>1068</v>
      </c>
      <c r="F1161" s="1" t="str">
        <f>IFERROR(__xludf.DUMMYFUNCTION("GOOGLETRANSLATE(E1161, ""zh-CN"", ""en"")"),"Suibin County")</f>
        <v>Suibin County</v>
      </c>
      <c r="G1161" s="1">
        <v>2.30422E11</v>
      </c>
    </row>
    <row r="1162">
      <c r="A1162" s="1" t="s">
        <v>1005</v>
      </c>
      <c r="B1162" s="1" t="str">
        <f>IFERROR(__xludf.DUMMYFUNCTION("GOOGLETRANSLATE(A1088, ""zh-CN"", ""en"")"),"Jiangxi Province")</f>
        <v>Jiangxi Province</v>
      </c>
      <c r="C1162" s="1" t="s">
        <v>1010</v>
      </c>
      <c r="D1162" s="1" t="str">
        <f>IFERROR(__xludf.DUMMYFUNCTION("GOOGLETRANSLATE(C1162, ""zh-CN"", ""en"")"),"Shuangyashan City")</f>
        <v>Shuangyashan City</v>
      </c>
      <c r="E1162" s="1" t="s">
        <v>24</v>
      </c>
      <c r="F1162" s="1" t="str">
        <f>IFERROR(__xludf.DUMMYFUNCTION("GOOGLETRANSLATE(E1162, ""zh-CN"", ""en"")"),"City area")</f>
        <v>City area</v>
      </c>
      <c r="G1162" s="1">
        <v>2.30501E11</v>
      </c>
    </row>
    <row r="1163">
      <c r="A1163" s="1" t="s">
        <v>1005</v>
      </c>
      <c r="B1163" s="1" t="str">
        <f>IFERROR(__xludf.DUMMYFUNCTION("GOOGLETRANSLATE(A1089, ""zh-CN"", ""en"")"),"Jiangxi Province")</f>
        <v>Jiangxi Province</v>
      </c>
      <c r="C1163" s="1" t="s">
        <v>1010</v>
      </c>
      <c r="D1163" s="1" t="str">
        <f>IFERROR(__xludf.DUMMYFUNCTION("GOOGLETRANSLATE(C1163, ""zh-CN"", ""en"")"),"Shuangyashan City")</f>
        <v>Shuangyashan City</v>
      </c>
      <c r="E1163" s="1" t="s">
        <v>1069</v>
      </c>
      <c r="F1163" s="1" t="str">
        <f>IFERROR(__xludf.DUMMYFUNCTION("GOOGLETRANSLATE(E1163, ""zh-CN"", ""en"")"),"Jianshan District")</f>
        <v>Jianshan District</v>
      </c>
      <c r="G1163" s="1">
        <v>2.30502E11</v>
      </c>
    </row>
    <row r="1164">
      <c r="A1164" s="1" t="s">
        <v>1005</v>
      </c>
      <c r="B1164" s="1" t="str">
        <f>IFERROR(__xludf.DUMMYFUNCTION("GOOGLETRANSLATE(A1090, ""zh-CN"", ""en"")"),"Jiangxi Province")</f>
        <v>Jiangxi Province</v>
      </c>
      <c r="C1164" s="1" t="s">
        <v>1010</v>
      </c>
      <c r="D1164" s="1" t="str">
        <f>IFERROR(__xludf.DUMMYFUNCTION("GOOGLETRANSLATE(C1164, ""zh-CN"", ""en"")"),"Shuangyashan City")</f>
        <v>Shuangyashan City</v>
      </c>
      <c r="E1164" s="1" t="s">
        <v>1070</v>
      </c>
      <c r="F1164" s="1" t="str">
        <f>IFERROR(__xludf.DUMMYFUNCTION("GOOGLETRANSLATE(E1164, ""zh-CN"", ""en"")"),"Lingdong District")</f>
        <v>Lingdong District</v>
      </c>
      <c r="G1164" s="1">
        <v>2.30503E11</v>
      </c>
    </row>
    <row r="1165">
      <c r="A1165" s="1" t="s">
        <v>1005</v>
      </c>
      <c r="B1165" s="1" t="str">
        <f>IFERROR(__xludf.DUMMYFUNCTION("GOOGLETRANSLATE(A1091, ""zh-CN"", ""en"")"),"Jiangxi Province")</f>
        <v>Jiangxi Province</v>
      </c>
      <c r="C1165" s="1" t="s">
        <v>1010</v>
      </c>
      <c r="D1165" s="1" t="str">
        <f>IFERROR(__xludf.DUMMYFUNCTION("GOOGLETRANSLATE(C1165, ""zh-CN"", ""en"")"),"Shuangyashan City")</f>
        <v>Shuangyashan City</v>
      </c>
      <c r="E1165" s="1" t="s">
        <v>1071</v>
      </c>
      <c r="F1165" s="1" t="str">
        <f>IFERROR(__xludf.DUMMYFUNCTION("GOOGLETRANSLATE(E1165, ""zh-CN"", ""en"")"),"Sifangtai area")</f>
        <v>Sifangtai area</v>
      </c>
      <c r="G1165" s="1">
        <v>2.30505E11</v>
      </c>
    </row>
    <row r="1166">
      <c r="A1166" s="1" t="s">
        <v>1005</v>
      </c>
      <c r="B1166" s="1" t="str">
        <f>IFERROR(__xludf.DUMMYFUNCTION("GOOGLETRANSLATE(A1092, ""zh-CN"", ""en"")"),"Jiangxi Province")</f>
        <v>Jiangxi Province</v>
      </c>
      <c r="C1166" s="1" t="s">
        <v>1010</v>
      </c>
      <c r="D1166" s="1" t="str">
        <f>IFERROR(__xludf.DUMMYFUNCTION("GOOGLETRANSLATE(C1166, ""zh-CN"", ""en"")"),"Shuangyashan City")</f>
        <v>Shuangyashan City</v>
      </c>
      <c r="E1166" s="1" t="s">
        <v>479</v>
      </c>
      <c r="F1166" s="1" t="str">
        <f>IFERROR(__xludf.DUMMYFUNCTION("GOOGLETRANSLATE(E1166, ""zh-CN"", ""en"")"),"Baoshan District")</f>
        <v>Baoshan District</v>
      </c>
      <c r="G1166" s="1">
        <v>2.30506E11</v>
      </c>
    </row>
    <row r="1167">
      <c r="A1167" s="1" t="s">
        <v>1005</v>
      </c>
      <c r="B1167" s="1" t="str">
        <f>IFERROR(__xludf.DUMMYFUNCTION("GOOGLETRANSLATE(A1093, ""zh-CN"", ""en"")"),"Heilongjiang Province")</f>
        <v>Heilongjiang Province</v>
      </c>
      <c r="C1167" s="1" t="s">
        <v>1010</v>
      </c>
      <c r="D1167" s="1" t="str">
        <f>IFERROR(__xludf.DUMMYFUNCTION("GOOGLETRANSLATE(C1167, ""zh-CN"", ""en"")"),"Shuangyashan City")</f>
        <v>Shuangyashan City</v>
      </c>
      <c r="E1167" s="1" t="s">
        <v>1072</v>
      </c>
      <c r="F1167" s="1" t="str">
        <f>IFERROR(__xludf.DUMMYFUNCTION("GOOGLETRANSLATE(E1167, ""zh-CN"", ""en"")"),"Jixian County")</f>
        <v>Jixian County</v>
      </c>
      <c r="G1167" s="1">
        <v>2.30521E11</v>
      </c>
    </row>
    <row r="1168">
      <c r="A1168" s="1" t="s">
        <v>1005</v>
      </c>
      <c r="B1168" s="1" t="str">
        <f>IFERROR(__xludf.DUMMYFUNCTION("GOOGLETRANSLATE(A1094, ""zh-CN"", ""en"")"),"Heilongjiang Province")</f>
        <v>Heilongjiang Province</v>
      </c>
      <c r="C1168" s="1" t="s">
        <v>1010</v>
      </c>
      <c r="D1168" s="1" t="str">
        <f>IFERROR(__xludf.DUMMYFUNCTION("GOOGLETRANSLATE(C1168, ""zh-CN"", ""en"")"),"Shuangyashan City")</f>
        <v>Shuangyashan City</v>
      </c>
      <c r="E1168" s="1" t="s">
        <v>1073</v>
      </c>
      <c r="F1168" s="1" t="str">
        <f>IFERROR(__xludf.DUMMYFUNCTION("GOOGLETRANSLATE(E1168, ""zh-CN"", ""en"")"),"Friendship County")</f>
        <v>Friendship County</v>
      </c>
      <c r="G1168" s="1">
        <v>2.30522E11</v>
      </c>
    </row>
    <row r="1169">
      <c r="A1169" s="1" t="s">
        <v>1005</v>
      </c>
      <c r="B1169" s="1" t="str">
        <f>IFERROR(__xludf.DUMMYFUNCTION("GOOGLETRANSLATE(A1095, ""zh-CN"", ""en"")"),"Heilongjiang Province")</f>
        <v>Heilongjiang Province</v>
      </c>
      <c r="C1169" s="1" t="s">
        <v>1010</v>
      </c>
      <c r="D1169" s="1" t="str">
        <f>IFERROR(__xludf.DUMMYFUNCTION("GOOGLETRANSLATE(C1169, ""zh-CN"", ""en"")"),"Shuangyashan City")</f>
        <v>Shuangyashan City</v>
      </c>
      <c r="E1169" s="1" t="s">
        <v>1074</v>
      </c>
      <c r="F1169" s="1" t="str">
        <f>IFERROR(__xludf.DUMMYFUNCTION("GOOGLETRANSLATE(E1169, ""zh-CN"", ""en"")"),"Baoqing County")</f>
        <v>Baoqing County</v>
      </c>
      <c r="G1169" s="1">
        <v>2.30523E11</v>
      </c>
    </row>
    <row r="1170">
      <c r="A1170" s="1" t="s">
        <v>1005</v>
      </c>
      <c r="B1170" s="1" t="str">
        <f>IFERROR(__xludf.DUMMYFUNCTION("GOOGLETRANSLATE(A1096, ""zh-CN"", ""en"")"),"Heilongjiang Province")</f>
        <v>Heilongjiang Province</v>
      </c>
      <c r="C1170" s="1" t="s">
        <v>1010</v>
      </c>
      <c r="D1170" s="1" t="str">
        <f>IFERROR(__xludf.DUMMYFUNCTION("GOOGLETRANSLATE(C1170, ""zh-CN"", ""en"")"),"Shuangyashan City")</f>
        <v>Shuangyashan City</v>
      </c>
      <c r="E1170" s="1" t="s">
        <v>1075</v>
      </c>
      <c r="F1170" s="1" t="str">
        <f>IFERROR(__xludf.DUMMYFUNCTION("GOOGLETRANSLATE(E1170, ""zh-CN"", ""en"")"),"Raohe County")</f>
        <v>Raohe County</v>
      </c>
      <c r="G1170" s="1">
        <v>2.30524E11</v>
      </c>
    </row>
    <row r="1171">
      <c r="A1171" s="1" t="s">
        <v>1005</v>
      </c>
      <c r="B1171" s="1" t="str">
        <f>IFERROR(__xludf.DUMMYFUNCTION("GOOGLETRANSLATE(A1097, ""zh-CN"", ""en"")"),"Heilongjiang Province")</f>
        <v>Heilongjiang Province</v>
      </c>
      <c r="C1171" s="1" t="s">
        <v>1011</v>
      </c>
      <c r="D1171" s="1" t="str">
        <f>IFERROR(__xludf.DUMMYFUNCTION("GOOGLETRANSLATE(C1171, ""zh-CN"", ""en"")"),"Daqing City")</f>
        <v>Daqing City</v>
      </c>
      <c r="E1171" s="1" t="s">
        <v>24</v>
      </c>
      <c r="F1171" s="1" t="str">
        <f>IFERROR(__xludf.DUMMYFUNCTION("GOOGLETRANSLATE(E1171, ""zh-CN"", ""en"")"),"City area")</f>
        <v>City area</v>
      </c>
      <c r="G1171" s="1">
        <v>2.30601E11</v>
      </c>
    </row>
    <row r="1172">
      <c r="A1172" s="1" t="s">
        <v>1005</v>
      </c>
      <c r="B1172" s="1" t="str">
        <f>IFERROR(__xludf.DUMMYFUNCTION("GOOGLETRANSLATE(A1098, ""zh-CN"", ""en"")"),"Heilongjiang Province")</f>
        <v>Heilongjiang Province</v>
      </c>
      <c r="C1172" s="1" t="s">
        <v>1011</v>
      </c>
      <c r="D1172" s="1" t="str">
        <f>IFERROR(__xludf.DUMMYFUNCTION("GOOGLETRANSLATE(C1172, ""zh-CN"", ""en"")"),"Daqing City")</f>
        <v>Daqing City</v>
      </c>
      <c r="E1172" s="1" t="s">
        <v>1076</v>
      </c>
      <c r="F1172" s="1" t="str">
        <f>IFERROR(__xludf.DUMMYFUNCTION("GOOGLETRANSLATE(E1172, ""zh-CN"", ""en"")"),"Salu District")</f>
        <v>Salu District</v>
      </c>
      <c r="G1172" s="1">
        <v>2.30602E11</v>
      </c>
    </row>
    <row r="1173">
      <c r="A1173" s="1" t="s">
        <v>1005</v>
      </c>
      <c r="B1173" s="1" t="str">
        <f>IFERROR(__xludf.DUMMYFUNCTION("GOOGLETRANSLATE(A1099, ""zh-CN"", ""en"")"),"Heilongjiang Province")</f>
        <v>Heilongjiang Province</v>
      </c>
      <c r="C1173" s="1" t="s">
        <v>1011</v>
      </c>
      <c r="D1173" s="1" t="str">
        <f>IFERROR(__xludf.DUMMYFUNCTION("GOOGLETRANSLATE(C1173, ""zh-CN"", ""en"")"),"Daqing City")</f>
        <v>Daqing City</v>
      </c>
      <c r="E1173" s="1" t="s">
        <v>1077</v>
      </c>
      <c r="F1173" s="1" t="str">
        <f>IFERROR(__xludf.DUMMYFUNCTION("GOOGLETRANSLATE(E1173, ""zh-CN"", ""en"")"),"Longfeng District")</f>
        <v>Longfeng District</v>
      </c>
      <c r="G1173" s="1">
        <v>2.30603E11</v>
      </c>
    </row>
    <row r="1174">
      <c r="A1174" s="1" t="s">
        <v>1005</v>
      </c>
      <c r="B1174" s="1" t="str">
        <f>IFERROR(__xludf.DUMMYFUNCTION("GOOGLETRANSLATE(A1100, ""zh-CN"", ""en"")"),"Heilongjiang Province")</f>
        <v>Heilongjiang Province</v>
      </c>
      <c r="C1174" s="1" t="s">
        <v>1011</v>
      </c>
      <c r="D1174" s="1" t="str">
        <f>IFERROR(__xludf.DUMMYFUNCTION("GOOGLETRANSLATE(C1174, ""zh-CN"", ""en"")"),"Daqing City")</f>
        <v>Daqing City</v>
      </c>
      <c r="E1174" s="1" t="s">
        <v>1078</v>
      </c>
      <c r="F1174" s="1" t="str">
        <f>IFERROR(__xludf.DUMMYFUNCTION("GOOGLETRANSLATE(E1174, ""zh-CN"", ""en"")"),"Luxu District")</f>
        <v>Luxu District</v>
      </c>
      <c r="G1174" s="1">
        <v>2.30604E11</v>
      </c>
    </row>
    <row r="1175">
      <c r="A1175" s="1" t="s">
        <v>1005</v>
      </c>
      <c r="B1175" s="1" t="str">
        <f>IFERROR(__xludf.DUMMYFUNCTION("GOOGLETRANSLATE(A1101, ""zh-CN"", ""en"")"),"Heilongjiang Province")</f>
        <v>Heilongjiang Province</v>
      </c>
      <c r="C1175" s="1" t="s">
        <v>1011</v>
      </c>
      <c r="D1175" s="1" t="str">
        <f>IFERROR(__xludf.DUMMYFUNCTION("GOOGLETRANSLATE(C1175, ""zh-CN"", ""en"")"),"Daqing City")</f>
        <v>Daqing City</v>
      </c>
      <c r="E1175" s="1" t="s">
        <v>1079</v>
      </c>
      <c r="F1175" s="1" t="str">
        <f>IFERROR(__xludf.DUMMYFUNCTION("GOOGLETRANSLATE(E1175, ""zh-CN"", ""en"")"),"Honggang District")</f>
        <v>Honggang District</v>
      </c>
      <c r="G1175" s="1">
        <v>2.30605E11</v>
      </c>
    </row>
    <row r="1176">
      <c r="A1176" s="1" t="s">
        <v>1005</v>
      </c>
      <c r="B1176" s="1" t="str">
        <f>IFERROR(__xludf.DUMMYFUNCTION("GOOGLETRANSLATE(A1102, ""zh-CN"", ""en"")"),"Heilongjiang Province")</f>
        <v>Heilongjiang Province</v>
      </c>
      <c r="C1176" s="1" t="s">
        <v>1011</v>
      </c>
      <c r="D1176" s="1" t="str">
        <f>IFERROR(__xludf.DUMMYFUNCTION("GOOGLETRANSLATE(C1176, ""zh-CN"", ""en"")"),"Daqing City")</f>
        <v>Daqing City</v>
      </c>
      <c r="E1176" s="1" t="s">
        <v>1080</v>
      </c>
      <c r="F1176" s="1" t="str">
        <f>IFERROR(__xludf.DUMMYFUNCTION("GOOGLETRANSLATE(E1176, ""zh-CN"", ""en"")"),"Datong District")</f>
        <v>Datong District</v>
      </c>
      <c r="G1176" s="1">
        <v>2.30606E11</v>
      </c>
    </row>
    <row r="1177">
      <c r="A1177" s="1" t="s">
        <v>1005</v>
      </c>
      <c r="B1177" s="1" t="str">
        <f>IFERROR(__xludf.DUMMYFUNCTION("GOOGLETRANSLATE(A1103, ""zh-CN"", ""en"")"),"Heilongjiang Province")</f>
        <v>Heilongjiang Province</v>
      </c>
      <c r="C1177" s="1" t="s">
        <v>1011</v>
      </c>
      <c r="D1177" s="1" t="str">
        <f>IFERROR(__xludf.DUMMYFUNCTION("GOOGLETRANSLATE(C1177, ""zh-CN"", ""en"")"),"Daqing City")</f>
        <v>Daqing City</v>
      </c>
      <c r="E1177" s="1" t="s">
        <v>1081</v>
      </c>
      <c r="F1177" s="1" t="str">
        <f>IFERROR(__xludf.DUMMYFUNCTION("GOOGLETRANSLATE(E1177, ""zh-CN"", ""en"")"),"Zhaozhou County")</f>
        <v>Zhaozhou County</v>
      </c>
      <c r="G1177" s="1">
        <v>2.30621E11</v>
      </c>
    </row>
    <row r="1178">
      <c r="A1178" s="1" t="s">
        <v>1005</v>
      </c>
      <c r="B1178" s="1" t="str">
        <f>IFERROR(__xludf.DUMMYFUNCTION("GOOGLETRANSLATE(A1104, ""zh-CN"", ""en"")"),"Heilongjiang Province")</f>
        <v>Heilongjiang Province</v>
      </c>
      <c r="C1178" s="1" t="s">
        <v>1011</v>
      </c>
      <c r="D1178" s="1" t="str">
        <f>IFERROR(__xludf.DUMMYFUNCTION("GOOGLETRANSLATE(C1178, ""zh-CN"", ""en"")"),"Daqing City")</f>
        <v>Daqing City</v>
      </c>
      <c r="E1178" s="1" t="s">
        <v>1082</v>
      </c>
      <c r="F1178" s="1" t="str">
        <f>IFERROR(__xludf.DUMMYFUNCTION("GOOGLETRANSLATE(E1178, ""zh-CN"", ""en"")"),"Zhaoyuan County")</f>
        <v>Zhaoyuan County</v>
      </c>
      <c r="G1178" s="1">
        <v>2.30622E11</v>
      </c>
    </row>
    <row r="1179">
      <c r="A1179" s="1" t="s">
        <v>1005</v>
      </c>
      <c r="B1179" s="1" t="str">
        <f>IFERROR(__xludf.DUMMYFUNCTION("GOOGLETRANSLATE(A1105, ""zh-CN"", ""en"")"),"Heilongjiang Province")</f>
        <v>Heilongjiang Province</v>
      </c>
      <c r="C1179" s="1" t="s">
        <v>1011</v>
      </c>
      <c r="D1179" s="1" t="str">
        <f>IFERROR(__xludf.DUMMYFUNCTION("GOOGLETRANSLATE(C1179, ""zh-CN"", ""en"")"),"Daqing City")</f>
        <v>Daqing City</v>
      </c>
      <c r="E1179" s="1" t="s">
        <v>1083</v>
      </c>
      <c r="F1179" s="1" t="str">
        <f>IFERROR(__xludf.DUMMYFUNCTION("GOOGLETRANSLATE(E1179, ""zh-CN"", ""en"")"),"Linkian County")</f>
        <v>Linkian County</v>
      </c>
      <c r="G1179" s="1">
        <v>2.30623E11</v>
      </c>
    </row>
    <row r="1180">
      <c r="A1180" s="1" t="s">
        <v>1005</v>
      </c>
      <c r="B1180" s="1" t="str">
        <f>IFERROR(__xludf.DUMMYFUNCTION("GOOGLETRANSLATE(A1106, ""zh-CN"", ""en"")"),"Heilongjiang Province")</f>
        <v>Heilongjiang Province</v>
      </c>
      <c r="C1180" s="1" t="s">
        <v>1011</v>
      </c>
      <c r="D1180" s="1" t="str">
        <f>IFERROR(__xludf.DUMMYFUNCTION("GOOGLETRANSLATE(C1180, ""zh-CN"", ""en"")"),"Daqing City")</f>
        <v>Daqing City</v>
      </c>
      <c r="E1180" s="1" t="s">
        <v>1084</v>
      </c>
      <c r="F1180" s="1" t="str">
        <f>IFERROR(__xludf.DUMMYFUNCTION("GOOGLETRANSLATE(E1180, ""zh-CN"", ""en"")"),"Durbert Mongolian Autonomous County")</f>
        <v>Durbert Mongolian Autonomous County</v>
      </c>
      <c r="G1180" s="1">
        <v>2.30624E11</v>
      </c>
    </row>
    <row r="1181">
      <c r="A1181" s="1" t="s">
        <v>1005</v>
      </c>
      <c r="B1181" s="1" t="str">
        <f>IFERROR(__xludf.DUMMYFUNCTION("GOOGLETRANSLATE(A1107, ""zh-CN"", ""en"")"),"Heilongjiang Province")</f>
        <v>Heilongjiang Province</v>
      </c>
      <c r="C1181" s="1" t="s">
        <v>1011</v>
      </c>
      <c r="D1181" s="1" t="str">
        <f>IFERROR(__xludf.DUMMYFUNCTION("GOOGLETRANSLATE(C1181, ""zh-CN"", ""en"")"),"Daqing City")</f>
        <v>Daqing City</v>
      </c>
      <c r="E1181" s="1" t="s">
        <v>1085</v>
      </c>
      <c r="F1181" s="1" t="str">
        <f>IFERROR(__xludf.DUMMYFUNCTION("GOOGLETRANSLATE(E1181, ""zh-CN"", ""en"")"),"Daqing High -tech Industrial Development Zone")</f>
        <v>Daqing High -tech Industrial Development Zone</v>
      </c>
      <c r="G1181" s="1">
        <v>2.30671E11</v>
      </c>
    </row>
    <row r="1182">
      <c r="A1182" s="1" t="s">
        <v>1005</v>
      </c>
      <c r="B1182" s="1" t="str">
        <f>IFERROR(__xludf.DUMMYFUNCTION("GOOGLETRANSLATE(A1108, ""zh-CN"", ""en"")"),"Heilongjiang Province")</f>
        <v>Heilongjiang Province</v>
      </c>
      <c r="C1182" s="1" t="s">
        <v>1012</v>
      </c>
      <c r="D1182" s="1" t="str">
        <f>IFERROR(__xludf.DUMMYFUNCTION("GOOGLETRANSLATE(C1182, ""zh-CN"", ""en"")"),"Yichun City")</f>
        <v>Yichun City</v>
      </c>
      <c r="E1182" s="1" t="s">
        <v>24</v>
      </c>
      <c r="F1182" s="1" t="str">
        <f>IFERROR(__xludf.DUMMYFUNCTION("GOOGLETRANSLATE(E1182, ""zh-CN"", ""en"")"),"City area")</f>
        <v>City area</v>
      </c>
      <c r="G1182" s="1">
        <v>2.30701E11</v>
      </c>
    </row>
    <row r="1183">
      <c r="A1183" s="1" t="s">
        <v>1005</v>
      </c>
      <c r="B1183" s="1" t="str">
        <f>IFERROR(__xludf.DUMMYFUNCTION("GOOGLETRANSLATE(A1109, ""zh-CN"", ""en"")"),"Heilongjiang Province")</f>
        <v>Heilongjiang Province</v>
      </c>
      <c r="C1183" s="1" t="s">
        <v>1012</v>
      </c>
      <c r="D1183" s="1" t="str">
        <f>IFERROR(__xludf.DUMMYFUNCTION("GOOGLETRANSLATE(C1183, ""zh-CN"", ""en"")"),"Yichun City")</f>
        <v>Yichun City</v>
      </c>
      <c r="E1183" s="1" t="s">
        <v>1086</v>
      </c>
      <c r="F1183" s="1" t="str">
        <f>IFERROR(__xludf.DUMMYFUNCTION("GOOGLETRANSLATE(E1183, ""zh-CN"", ""en"")"),"Yimei District")</f>
        <v>Yimei District</v>
      </c>
      <c r="G1183" s="1">
        <v>2.30717E11</v>
      </c>
    </row>
    <row r="1184">
      <c r="A1184" s="1" t="s">
        <v>1005</v>
      </c>
      <c r="B1184" s="1" t="str">
        <f>IFERROR(__xludf.DUMMYFUNCTION("GOOGLETRANSLATE(A1110, ""zh-CN"", ""en"")"),"Heilongjiang Province")</f>
        <v>Heilongjiang Province</v>
      </c>
      <c r="C1184" s="1" t="s">
        <v>1012</v>
      </c>
      <c r="D1184" s="1" t="str">
        <f>IFERROR(__xludf.DUMMYFUNCTION("GOOGLETRANSLATE(C1184, ""zh-CN"", ""en"")"),"Yichun City")</f>
        <v>Yichun City</v>
      </c>
      <c r="E1184" s="1" t="s">
        <v>1087</v>
      </c>
      <c r="F1184" s="1" t="str">
        <f>IFERROR(__xludf.DUMMYFUNCTION("GOOGLETRANSLATE(E1184, ""zh-CN"", ""en"")"),"Wucui District")</f>
        <v>Wucui District</v>
      </c>
      <c r="G1184" s="1">
        <v>2.30718E11</v>
      </c>
    </row>
    <row r="1185">
      <c r="A1185" s="1" t="s">
        <v>1005</v>
      </c>
      <c r="B1185" s="1" t="str">
        <f>IFERROR(__xludf.DUMMYFUNCTION("GOOGLETRANSLATE(A1111, ""zh-CN"", ""en"")"),"Heilongjiang Province")</f>
        <v>Heilongjiang Province</v>
      </c>
      <c r="C1185" s="1" t="s">
        <v>1012</v>
      </c>
      <c r="D1185" s="1" t="str">
        <f>IFERROR(__xludf.DUMMYFUNCTION("GOOGLETRANSLATE(C1185, ""zh-CN"", ""en"")"),"Yichun City")</f>
        <v>Yichun City</v>
      </c>
      <c r="E1185" s="1" t="s">
        <v>1088</v>
      </c>
      <c r="F1185" s="1" t="str">
        <f>IFERROR(__xludf.DUMMYFUNCTION("GOOGLETRANSLATE(E1185, ""zh-CN"", ""en"")"),"Friendly area")</f>
        <v>Friendly area</v>
      </c>
      <c r="G1185" s="1">
        <v>2.30719E11</v>
      </c>
    </row>
    <row r="1186">
      <c r="A1186" s="1" t="s">
        <v>1005</v>
      </c>
      <c r="B1186" s="1" t="str">
        <f>IFERROR(__xludf.DUMMYFUNCTION("GOOGLETRANSLATE(A1112, ""zh-CN"", ""en"")"),"Heilongjiang Province")</f>
        <v>Heilongjiang Province</v>
      </c>
      <c r="C1186" s="1" t="s">
        <v>1012</v>
      </c>
      <c r="D1186" s="1" t="str">
        <f>IFERROR(__xludf.DUMMYFUNCTION("GOOGLETRANSLATE(C1186, ""zh-CN"", ""en"")"),"Yichun City")</f>
        <v>Yichun City</v>
      </c>
      <c r="E1186" s="1" t="s">
        <v>1089</v>
      </c>
      <c r="F1186" s="1" t="str">
        <f>IFERROR(__xludf.DUMMYFUNCTION("GOOGLETRANSLATE(E1186, ""zh-CN"", ""en"")"),"Jiayin County")</f>
        <v>Jiayin County</v>
      </c>
      <c r="G1186" s="1">
        <v>2.30722E11</v>
      </c>
    </row>
    <row r="1187">
      <c r="A1187" s="1" t="s">
        <v>1005</v>
      </c>
      <c r="B1187" s="1" t="str">
        <f>IFERROR(__xludf.DUMMYFUNCTION("GOOGLETRANSLATE(A1113, ""zh-CN"", ""en"")"),"Heilongjiang Province")</f>
        <v>Heilongjiang Province</v>
      </c>
      <c r="C1187" s="1" t="s">
        <v>1012</v>
      </c>
      <c r="D1187" s="1" t="str">
        <f>IFERROR(__xludf.DUMMYFUNCTION("GOOGLETRANSLATE(C1187, ""zh-CN"", ""en"")"),"Yichun City")</f>
        <v>Yichun City</v>
      </c>
      <c r="E1187" s="1" t="s">
        <v>1090</v>
      </c>
      <c r="F1187" s="1" t="str">
        <f>IFERROR(__xludf.DUMMYFUNCTION("GOOGLETRANSLATE(E1187, ""zh-CN"", ""en"")"),"Tangwang County")</f>
        <v>Tangwang County</v>
      </c>
      <c r="G1187" s="1">
        <v>2.30723E11</v>
      </c>
    </row>
    <row r="1188">
      <c r="A1188" s="1" t="s">
        <v>1005</v>
      </c>
      <c r="B1188" s="1" t="str">
        <f>IFERROR(__xludf.DUMMYFUNCTION("GOOGLETRANSLATE(A1114, ""zh-CN"", ""en"")"),"Heilongjiang Province")</f>
        <v>Heilongjiang Province</v>
      </c>
      <c r="C1188" s="1" t="s">
        <v>1012</v>
      </c>
      <c r="D1188" s="1" t="str">
        <f>IFERROR(__xludf.DUMMYFUNCTION("GOOGLETRANSLATE(C1188, ""zh-CN"", ""en"")"),"Yichun City")</f>
        <v>Yichun City</v>
      </c>
      <c r="E1188" s="1" t="s">
        <v>1091</v>
      </c>
      <c r="F1188" s="1" t="str">
        <f>IFERROR(__xludf.DUMMYFUNCTION("GOOGLETRANSLATE(E1188, ""zh-CN"", ""en"")"),"Fenglin County")</f>
        <v>Fenglin County</v>
      </c>
      <c r="G1188" s="1">
        <v>2.30724E11</v>
      </c>
    </row>
    <row r="1189">
      <c r="A1189" s="1" t="s">
        <v>1005</v>
      </c>
      <c r="B1189" s="1" t="str">
        <f>IFERROR(__xludf.DUMMYFUNCTION("GOOGLETRANSLATE(A1115, ""zh-CN"", ""en"")"),"Heilongjiang Province")</f>
        <v>Heilongjiang Province</v>
      </c>
      <c r="C1189" s="1" t="s">
        <v>1012</v>
      </c>
      <c r="D1189" s="1" t="str">
        <f>IFERROR(__xludf.DUMMYFUNCTION("GOOGLETRANSLATE(C1189, ""zh-CN"", ""en"")"),"Yichun City")</f>
        <v>Yichun City</v>
      </c>
      <c r="E1189" s="1" t="s">
        <v>1092</v>
      </c>
      <c r="F1189" s="1" t="str">
        <f>IFERROR(__xludf.DUMMYFUNCTION("GOOGLETRANSLATE(E1189, ""zh-CN"", ""en"")"),"Dazhenshan County")</f>
        <v>Dazhenshan County</v>
      </c>
      <c r="G1189" s="1">
        <v>2.30725E11</v>
      </c>
    </row>
    <row r="1190">
      <c r="A1190" s="1" t="s">
        <v>1005</v>
      </c>
      <c r="B1190" s="1" t="str">
        <f>IFERROR(__xludf.DUMMYFUNCTION("GOOGLETRANSLATE(A1116, ""zh-CN"", ""en"")"),"Heilongjiang Province")</f>
        <v>Heilongjiang Province</v>
      </c>
      <c r="C1190" s="1" t="s">
        <v>1012</v>
      </c>
      <c r="D1190" s="1" t="str">
        <f>IFERROR(__xludf.DUMMYFUNCTION("GOOGLETRANSLATE(C1190, ""zh-CN"", ""en"")"),"Yichun City")</f>
        <v>Yichun City</v>
      </c>
      <c r="E1190" s="1" t="s">
        <v>1093</v>
      </c>
      <c r="F1190" s="1" t="str">
        <f>IFERROR(__xludf.DUMMYFUNCTION("GOOGLETRANSLATE(E1190, ""zh-CN"", ""en"")"),"Nancha County")</f>
        <v>Nancha County</v>
      </c>
      <c r="G1190" s="1">
        <v>2.30726E11</v>
      </c>
    </row>
    <row r="1191">
      <c r="A1191" s="1" t="s">
        <v>1005</v>
      </c>
      <c r="B1191" s="1" t="str">
        <f>IFERROR(__xludf.DUMMYFUNCTION("GOOGLETRANSLATE(A1117, ""zh-CN"", ""en"")"),"Heilongjiang Province")</f>
        <v>Heilongjiang Province</v>
      </c>
      <c r="C1191" s="1" t="s">
        <v>1012</v>
      </c>
      <c r="D1191" s="1" t="str">
        <f>IFERROR(__xludf.DUMMYFUNCTION("GOOGLETRANSLATE(C1191, ""zh-CN"", ""en"")"),"Yichun City")</f>
        <v>Yichun City</v>
      </c>
      <c r="E1191" s="1" t="s">
        <v>1094</v>
      </c>
      <c r="F1191" s="1" t="str">
        <f>IFERROR(__xludf.DUMMYFUNCTION("GOOGLETRANSLATE(E1191, ""zh-CN"", ""en"")"),"Golden forest area")</f>
        <v>Golden forest area</v>
      </c>
      <c r="G1191" s="1">
        <v>2.30751E11</v>
      </c>
    </row>
    <row r="1192">
      <c r="A1192" s="1" t="s">
        <v>1005</v>
      </c>
      <c r="B1192" s="1" t="str">
        <f>IFERROR(__xludf.DUMMYFUNCTION("GOOGLETRANSLATE(A1118, ""zh-CN"", ""en"")"),"Heilongjiang Province")</f>
        <v>Heilongjiang Province</v>
      </c>
      <c r="C1192" s="1" t="s">
        <v>1012</v>
      </c>
      <c r="D1192" s="1" t="str">
        <f>IFERROR(__xludf.DUMMYFUNCTION("GOOGLETRANSLATE(C1192, ""zh-CN"", ""en"")"),"Yichun City")</f>
        <v>Yichun City</v>
      </c>
      <c r="E1192" s="1" t="s">
        <v>1095</v>
      </c>
      <c r="F1192" s="1" t="str">
        <f>IFERROR(__xludf.DUMMYFUNCTION("GOOGLETRANSLATE(E1192, ""zh-CN"", ""en"")"),"Tieli City")</f>
        <v>Tieli City</v>
      </c>
      <c r="G1192" s="1">
        <v>2.30781E11</v>
      </c>
    </row>
    <row r="1193">
      <c r="A1193" s="1" t="s">
        <v>1005</v>
      </c>
      <c r="B1193" s="1" t="str">
        <f>IFERROR(__xludf.DUMMYFUNCTION("GOOGLETRANSLATE(A1119, ""zh-CN"", ""en"")"),"Heilongjiang Province")</f>
        <v>Heilongjiang Province</v>
      </c>
      <c r="C1193" s="1" t="s">
        <v>1013</v>
      </c>
      <c r="D1193" s="1" t="str">
        <f>IFERROR(__xludf.DUMMYFUNCTION("GOOGLETRANSLATE(C1193, ""zh-CN"", ""en"")"),"Jiamusi City")</f>
        <v>Jiamusi City</v>
      </c>
      <c r="E1193" s="1" t="s">
        <v>24</v>
      </c>
      <c r="F1193" s="1" t="str">
        <f>IFERROR(__xludf.DUMMYFUNCTION("GOOGLETRANSLATE(E1193, ""zh-CN"", ""en"")"),"City area")</f>
        <v>City area</v>
      </c>
      <c r="G1193" s="1">
        <v>2.30801E11</v>
      </c>
    </row>
    <row r="1194">
      <c r="A1194" s="1" t="s">
        <v>1005</v>
      </c>
      <c r="B1194" s="1" t="str">
        <f>IFERROR(__xludf.DUMMYFUNCTION("GOOGLETRANSLATE(A1120, ""zh-CN"", ""en"")"),"Heilongjiang Province")</f>
        <v>Heilongjiang Province</v>
      </c>
      <c r="C1194" s="1" t="s">
        <v>1013</v>
      </c>
      <c r="D1194" s="1" t="str">
        <f>IFERROR(__xludf.DUMMYFUNCTION("GOOGLETRANSLATE(C1194, ""zh-CN"", ""en"")"),"Jiamusi City")</f>
        <v>Jiamusi City</v>
      </c>
      <c r="E1194" s="1" t="s">
        <v>1062</v>
      </c>
      <c r="F1194" s="1" t="str">
        <f>IFERROR(__xludf.DUMMYFUNCTION("GOOGLETRANSLATE(E1194, ""zh-CN"", ""en"")"),"Xiangyang District")</f>
        <v>Xiangyang District</v>
      </c>
      <c r="G1194" s="1">
        <v>2.30803E11</v>
      </c>
    </row>
    <row r="1195">
      <c r="A1195" s="1" t="s">
        <v>1005</v>
      </c>
      <c r="B1195" s="1" t="str">
        <f>IFERROR(__xludf.DUMMYFUNCTION("GOOGLETRANSLATE(A1121, ""zh-CN"", ""en"")"),"Heilongjiang Province")</f>
        <v>Heilongjiang Province</v>
      </c>
      <c r="C1195" s="1" t="s">
        <v>1013</v>
      </c>
      <c r="D1195" s="1" t="str">
        <f>IFERROR(__xludf.DUMMYFUNCTION("GOOGLETRANSLATE(C1195, ""zh-CN"", ""en"")"),"Jiamusi City")</f>
        <v>Jiamusi City</v>
      </c>
      <c r="E1195" s="1" t="s">
        <v>1096</v>
      </c>
      <c r="F1195" s="1" t="str">
        <f>IFERROR(__xludf.DUMMYFUNCTION("GOOGLETRANSLATE(E1195, ""zh-CN"", ""en"")"),"Forward zone")</f>
        <v>Forward zone</v>
      </c>
      <c r="G1195" s="1">
        <v>2.30804E11</v>
      </c>
    </row>
    <row r="1196">
      <c r="A1196" s="1" t="s">
        <v>1005</v>
      </c>
      <c r="B1196" s="1" t="str">
        <f>IFERROR(__xludf.DUMMYFUNCTION("GOOGLETRANSLATE(A1122, ""zh-CN"", ""en"")"),"Heilongjiang Province")</f>
        <v>Heilongjiang Province</v>
      </c>
      <c r="C1196" s="1" t="s">
        <v>1013</v>
      </c>
      <c r="D1196" s="1" t="str">
        <f>IFERROR(__xludf.DUMMYFUNCTION("GOOGLETRANSLATE(C1196, ""zh-CN"", ""en"")"),"Jiamusi City")</f>
        <v>Jiamusi City</v>
      </c>
      <c r="E1196" s="1" t="s">
        <v>1097</v>
      </c>
      <c r="F1196" s="1" t="str">
        <f>IFERROR(__xludf.DUMMYFUNCTION("GOOGLETRANSLATE(E1196, ""zh-CN"", ""en"")"),"Dongfeng District")</f>
        <v>Dongfeng District</v>
      </c>
      <c r="G1196" s="1">
        <v>2.30805E11</v>
      </c>
    </row>
    <row r="1197">
      <c r="A1197" s="1" t="s">
        <v>1005</v>
      </c>
      <c r="B1197" s="1" t="str">
        <f>IFERROR(__xludf.DUMMYFUNCTION("GOOGLETRANSLATE(A1123, ""zh-CN"", ""en"")"),"Heilongjiang Province")</f>
        <v>Heilongjiang Province</v>
      </c>
      <c r="C1197" s="1" t="s">
        <v>1013</v>
      </c>
      <c r="D1197" s="1" t="str">
        <f>IFERROR(__xludf.DUMMYFUNCTION("GOOGLETRANSLATE(C1197, ""zh-CN"", ""en"")"),"Jiamusi City")</f>
        <v>Jiamusi City</v>
      </c>
      <c r="E1197" s="1" t="s">
        <v>169</v>
      </c>
      <c r="F1197" s="1" t="str">
        <f>IFERROR(__xludf.DUMMYFUNCTION("GOOGLETRANSLATE(E1197, ""zh-CN"", ""en"")"),"suburbs")</f>
        <v>suburbs</v>
      </c>
      <c r="G1197" s="1">
        <v>2.30811E11</v>
      </c>
    </row>
    <row r="1198">
      <c r="A1198" s="1" t="s">
        <v>1005</v>
      </c>
      <c r="B1198" s="1" t="str">
        <f>IFERROR(__xludf.DUMMYFUNCTION("GOOGLETRANSLATE(A1124, ""zh-CN"", ""en"")"),"Heilongjiang Province")</f>
        <v>Heilongjiang Province</v>
      </c>
      <c r="C1198" s="1" t="s">
        <v>1013</v>
      </c>
      <c r="D1198" s="1" t="str">
        <f>IFERROR(__xludf.DUMMYFUNCTION("GOOGLETRANSLATE(C1198, ""zh-CN"", ""en"")"),"Jiamusi City")</f>
        <v>Jiamusi City</v>
      </c>
      <c r="E1198" s="1" t="s">
        <v>1098</v>
      </c>
      <c r="F1198" s="1" t="str">
        <f>IFERROR(__xludf.DUMMYFUNCTION("GOOGLETRANSLATE(E1198, ""zh-CN"", ""en"")"),"Hua Nan County")</f>
        <v>Hua Nan County</v>
      </c>
      <c r="G1198" s="1">
        <v>2.30822E11</v>
      </c>
    </row>
    <row r="1199">
      <c r="A1199" s="1" t="s">
        <v>1005</v>
      </c>
      <c r="B1199" s="1" t="str">
        <f>IFERROR(__xludf.DUMMYFUNCTION("GOOGLETRANSLATE(A1125, ""zh-CN"", ""en"")"),"Heilongjiang Province")</f>
        <v>Heilongjiang Province</v>
      </c>
      <c r="C1199" s="1" t="s">
        <v>1013</v>
      </c>
      <c r="D1199" s="1" t="str">
        <f>IFERROR(__xludf.DUMMYFUNCTION("GOOGLETRANSLATE(C1199, ""zh-CN"", ""en"")"),"Jiamusi City")</f>
        <v>Jiamusi City</v>
      </c>
      <c r="E1199" s="1" t="s">
        <v>1099</v>
      </c>
      <c r="F1199" s="1" t="str">
        <f>IFERROR(__xludf.DUMMYFUNCTION("GOOGLETRANSLATE(E1199, ""zh-CN"", ""en"")"),"Huaichuan County")</f>
        <v>Huaichuan County</v>
      </c>
      <c r="G1199" s="1">
        <v>2.30826E11</v>
      </c>
    </row>
    <row r="1200">
      <c r="A1200" s="1" t="s">
        <v>1005</v>
      </c>
      <c r="B1200" s="1" t="str">
        <f>IFERROR(__xludf.DUMMYFUNCTION("GOOGLETRANSLATE(A1126, ""zh-CN"", ""en"")"),"Heilongjiang Province")</f>
        <v>Heilongjiang Province</v>
      </c>
      <c r="C1200" s="1" t="s">
        <v>1013</v>
      </c>
      <c r="D1200" s="1" t="str">
        <f>IFERROR(__xludf.DUMMYFUNCTION("GOOGLETRANSLATE(C1200, ""zh-CN"", ""en"")"),"Jiamusi City")</f>
        <v>Jiamusi City</v>
      </c>
      <c r="E1200" s="1" t="s">
        <v>1100</v>
      </c>
      <c r="F1200" s="1" t="str">
        <f>IFERROR(__xludf.DUMMYFUNCTION("GOOGLETRANSLATE(E1200, ""zh-CN"", ""en"")"),"Tangyuan County")</f>
        <v>Tangyuan County</v>
      </c>
      <c r="G1200" s="1">
        <v>2.30828E11</v>
      </c>
    </row>
    <row r="1201">
      <c r="A1201" s="1" t="s">
        <v>1005</v>
      </c>
      <c r="B1201" s="1" t="str">
        <f>IFERROR(__xludf.DUMMYFUNCTION("GOOGLETRANSLATE(A1127, ""zh-CN"", ""en"")"),"Heilongjiang Province")</f>
        <v>Heilongjiang Province</v>
      </c>
      <c r="C1201" s="1" t="s">
        <v>1013</v>
      </c>
      <c r="D1201" s="1" t="str">
        <f>IFERROR(__xludf.DUMMYFUNCTION("GOOGLETRANSLATE(C1201, ""zh-CN"", ""en"")"),"Jiamusi City")</f>
        <v>Jiamusi City</v>
      </c>
      <c r="E1201" s="1" t="s">
        <v>1101</v>
      </c>
      <c r="F1201" s="1" t="str">
        <f>IFERROR(__xludf.DUMMYFUNCTION("GOOGLETRANSLATE(E1201, ""zh-CN"", ""en"")"),"Tongjiang City")</f>
        <v>Tongjiang City</v>
      </c>
      <c r="G1201" s="1">
        <v>2.30881E11</v>
      </c>
    </row>
    <row r="1202">
      <c r="A1202" s="1" t="s">
        <v>1005</v>
      </c>
      <c r="B1202" s="1" t="str">
        <f>IFERROR(__xludf.DUMMYFUNCTION("GOOGLETRANSLATE(A1128, ""zh-CN"", ""en"")"),"Heilongjiang Province")</f>
        <v>Heilongjiang Province</v>
      </c>
      <c r="C1202" s="1" t="s">
        <v>1013</v>
      </c>
      <c r="D1202" s="1" t="str">
        <f>IFERROR(__xludf.DUMMYFUNCTION("GOOGLETRANSLATE(C1202, ""zh-CN"", ""en"")"),"Jiamusi City")</f>
        <v>Jiamusi City</v>
      </c>
      <c r="E1202" s="1" t="s">
        <v>1102</v>
      </c>
      <c r="F1202" s="1" t="str">
        <f>IFERROR(__xludf.DUMMYFUNCTION("GOOGLETRANSLATE(E1202, ""zh-CN"", ""en"")"),"Fujin City")</f>
        <v>Fujin City</v>
      </c>
      <c r="G1202" s="1">
        <v>2.30882E11</v>
      </c>
    </row>
    <row r="1203">
      <c r="A1203" s="1" t="s">
        <v>1005</v>
      </c>
      <c r="B1203" s="1" t="str">
        <f>IFERROR(__xludf.DUMMYFUNCTION("GOOGLETRANSLATE(A1129, ""zh-CN"", ""en"")"),"Heilongjiang Province")</f>
        <v>Heilongjiang Province</v>
      </c>
      <c r="C1203" s="1" t="s">
        <v>1013</v>
      </c>
      <c r="D1203" s="1" t="str">
        <f>IFERROR(__xludf.DUMMYFUNCTION("GOOGLETRANSLATE(C1203, ""zh-CN"", ""en"")"),"Jiamusi City")</f>
        <v>Jiamusi City</v>
      </c>
      <c r="E1203" s="1" t="s">
        <v>1103</v>
      </c>
      <c r="F1203" s="1" t="str">
        <f>IFERROR(__xludf.DUMMYFUNCTION("GOOGLETRANSLATE(E1203, ""zh-CN"", ""en"")"),"Fuyuan City")</f>
        <v>Fuyuan City</v>
      </c>
      <c r="G1203" s="1">
        <v>2.30883E11</v>
      </c>
    </row>
    <row r="1204">
      <c r="A1204" s="1" t="s">
        <v>1005</v>
      </c>
      <c r="B1204" s="1" t="str">
        <f>IFERROR(__xludf.DUMMYFUNCTION("GOOGLETRANSLATE(A1130, ""zh-CN"", ""en"")"),"Heilongjiang Province")</f>
        <v>Heilongjiang Province</v>
      </c>
      <c r="C1204" s="1" t="s">
        <v>1014</v>
      </c>
      <c r="D1204" s="1" t="str">
        <f>IFERROR(__xludf.DUMMYFUNCTION("GOOGLETRANSLATE(C1204, ""zh-CN"", ""en"")"),"Qitaihe City")</f>
        <v>Qitaihe City</v>
      </c>
      <c r="E1204" s="1" t="s">
        <v>24</v>
      </c>
      <c r="F1204" s="1" t="str">
        <f>IFERROR(__xludf.DUMMYFUNCTION("GOOGLETRANSLATE(E1204, ""zh-CN"", ""en"")"),"City area")</f>
        <v>City area</v>
      </c>
      <c r="G1204" s="1">
        <v>2.30901E11</v>
      </c>
    </row>
    <row r="1205">
      <c r="A1205" s="1" t="s">
        <v>1005</v>
      </c>
      <c r="B1205" s="1" t="str">
        <f>IFERROR(__xludf.DUMMYFUNCTION("GOOGLETRANSLATE(A1131, ""zh-CN"", ""en"")"),"Heilongjiang Province")</f>
        <v>Heilongjiang Province</v>
      </c>
      <c r="C1205" s="1" t="s">
        <v>1014</v>
      </c>
      <c r="D1205" s="1" t="str">
        <f>IFERROR(__xludf.DUMMYFUNCTION("GOOGLETRANSLATE(C1205, ""zh-CN"", ""en"")"),"Qitaihe City")</f>
        <v>Qitaihe City</v>
      </c>
      <c r="E1205" s="1" t="s">
        <v>1104</v>
      </c>
      <c r="F1205" s="1" t="str">
        <f>IFERROR(__xludf.DUMMYFUNCTION("GOOGLETRANSLATE(E1205, ""zh-CN"", ""en"")"),"Emerging district")</f>
        <v>Emerging district</v>
      </c>
      <c r="G1205" s="1">
        <v>2.30902E11</v>
      </c>
    </row>
    <row r="1206">
      <c r="A1206" s="1" t="s">
        <v>1005</v>
      </c>
      <c r="B1206" s="1" t="str">
        <f>IFERROR(__xludf.DUMMYFUNCTION("GOOGLETRANSLATE(A1132, ""zh-CN"", ""en"")"),"Heilongjiang Province")</f>
        <v>Heilongjiang Province</v>
      </c>
      <c r="C1206" s="1" t="s">
        <v>1014</v>
      </c>
      <c r="D1206" s="1" t="str">
        <f>IFERROR(__xludf.DUMMYFUNCTION("GOOGLETRANSLATE(C1206, ""zh-CN"", ""en"")"),"Qitaihe City")</f>
        <v>Qitaihe City</v>
      </c>
      <c r="E1206" s="1" t="s">
        <v>1105</v>
      </c>
      <c r="F1206" s="1" t="str">
        <f>IFERROR(__xludf.DUMMYFUNCTION("GOOGLETRANSLATE(E1206, ""zh-CN"", ""en"")"),"Momoyama")</f>
        <v>Momoyama</v>
      </c>
      <c r="G1206" s="1">
        <v>2.30903E11</v>
      </c>
    </row>
    <row r="1207">
      <c r="A1207" s="1" t="s">
        <v>1005</v>
      </c>
      <c r="B1207" s="1" t="str">
        <f>IFERROR(__xludf.DUMMYFUNCTION("GOOGLETRANSLATE(A1133, ""zh-CN"", ""en"")"),"Heilongjiang Province")</f>
        <v>Heilongjiang Province</v>
      </c>
      <c r="C1207" s="1" t="s">
        <v>1014</v>
      </c>
      <c r="D1207" s="1" t="str">
        <f>IFERROR(__xludf.DUMMYFUNCTION("GOOGLETRANSLATE(C1207, ""zh-CN"", ""en"")"),"Qitaihe City")</f>
        <v>Qitaihe City</v>
      </c>
      <c r="E1207" s="1" t="s">
        <v>1106</v>
      </c>
      <c r="F1207" s="1" t="str">
        <f>IFERROR(__xludf.DUMMYFUNCTION("GOOGLETRANSLATE(E1207, ""zh-CN"", ""en"")"),"Eggplant River")</f>
        <v>Eggplant River</v>
      </c>
      <c r="G1207" s="1">
        <v>2.30904E11</v>
      </c>
    </row>
    <row r="1208">
      <c r="A1208" s="1" t="s">
        <v>1005</v>
      </c>
      <c r="B1208" s="1" t="str">
        <f>IFERROR(__xludf.DUMMYFUNCTION("GOOGLETRANSLATE(A1134, ""zh-CN"", ""en"")"),"Heilongjiang Province")</f>
        <v>Heilongjiang Province</v>
      </c>
      <c r="C1208" s="1" t="s">
        <v>1014</v>
      </c>
      <c r="D1208" s="1" t="str">
        <f>IFERROR(__xludf.DUMMYFUNCTION("GOOGLETRANSLATE(C1208, ""zh-CN"", ""en"")"),"Qitaihe City")</f>
        <v>Qitaihe City</v>
      </c>
      <c r="E1208" s="1" t="s">
        <v>1107</v>
      </c>
      <c r="F1208" s="1" t="str">
        <f>IFERROR(__xludf.DUMMYFUNCTION("GOOGLETRANSLATE(E1208, ""zh-CN"", ""en"")"),"Boli County")</f>
        <v>Boli County</v>
      </c>
      <c r="G1208" s="1">
        <v>2.30921E11</v>
      </c>
    </row>
    <row r="1209">
      <c r="A1209" s="1" t="s">
        <v>1005</v>
      </c>
      <c r="B1209" s="1" t="str">
        <f>IFERROR(__xludf.DUMMYFUNCTION("GOOGLETRANSLATE(A1135, ""zh-CN"", ""en"")"),"Heilongjiang Province")</f>
        <v>Heilongjiang Province</v>
      </c>
      <c r="C1209" s="1" t="s">
        <v>1015</v>
      </c>
      <c r="D1209" s="1" t="str">
        <f>IFERROR(__xludf.DUMMYFUNCTION("GOOGLETRANSLATE(C1209, ""zh-CN"", ""en"")"),"Mudanjiang City")</f>
        <v>Mudanjiang City</v>
      </c>
      <c r="E1209" s="1" t="s">
        <v>24</v>
      </c>
      <c r="F1209" s="1" t="str">
        <f>IFERROR(__xludf.DUMMYFUNCTION("GOOGLETRANSLATE(E1209, ""zh-CN"", ""en"")"),"City area")</f>
        <v>City area</v>
      </c>
      <c r="G1209" s="1">
        <v>2.31001E11</v>
      </c>
    </row>
    <row r="1210">
      <c r="A1210" s="1" t="s">
        <v>1005</v>
      </c>
      <c r="B1210" s="1" t="str">
        <f>IFERROR(__xludf.DUMMYFUNCTION("GOOGLETRANSLATE(A1136, ""zh-CN"", ""en"")"),"Heilongjiang Province")</f>
        <v>Heilongjiang Province</v>
      </c>
      <c r="C1210" s="1" t="s">
        <v>1015</v>
      </c>
      <c r="D1210" s="1" t="str">
        <f>IFERROR(__xludf.DUMMYFUNCTION("GOOGLETRANSLATE(C1210, ""zh-CN"", ""en"")"),"Mudanjiang City")</f>
        <v>Mudanjiang City</v>
      </c>
      <c r="E1210" s="1" t="s">
        <v>1108</v>
      </c>
      <c r="F1210" s="1" t="str">
        <f>IFERROR(__xludf.DUMMYFUNCTION("GOOGLETRANSLATE(E1210, ""zh-CN"", ""en"")"),"Dong'an District")</f>
        <v>Dong'an District</v>
      </c>
      <c r="G1210" s="1">
        <v>2.31002E11</v>
      </c>
    </row>
    <row r="1211">
      <c r="A1211" s="1" t="s">
        <v>1005</v>
      </c>
      <c r="B1211" s="1" t="str">
        <f>IFERROR(__xludf.DUMMYFUNCTION("GOOGLETRANSLATE(A1137, ""zh-CN"", ""en"")"),"Heilongjiang Province")</f>
        <v>Heilongjiang Province</v>
      </c>
      <c r="C1211" s="1" t="s">
        <v>1015</v>
      </c>
      <c r="D1211" s="1" t="str">
        <f>IFERROR(__xludf.DUMMYFUNCTION("GOOGLETRANSLATE(C1211, ""zh-CN"", ""en"")"),"Mudanjiang City")</f>
        <v>Mudanjiang City</v>
      </c>
      <c r="E1211" s="1" t="s">
        <v>1109</v>
      </c>
      <c r="F1211" s="1" t="str">
        <f>IFERROR(__xludf.DUMMYFUNCTION("GOOGLETRANSLATE(E1211, ""zh-CN"", ""en"")"),"Yangming District")</f>
        <v>Yangming District</v>
      </c>
      <c r="G1211" s="1">
        <v>2.31003E11</v>
      </c>
    </row>
    <row r="1212">
      <c r="A1212" s="1" t="s">
        <v>1005</v>
      </c>
      <c r="B1212" s="1" t="str">
        <f>IFERROR(__xludf.DUMMYFUNCTION("GOOGLETRANSLATE(A1138, ""zh-CN"", ""en"")"),"Heilongjiang Province")</f>
        <v>Heilongjiang Province</v>
      </c>
      <c r="C1212" s="1" t="s">
        <v>1015</v>
      </c>
      <c r="D1212" s="1" t="str">
        <f>IFERROR(__xludf.DUMMYFUNCTION("GOOGLETRANSLATE(C1212, ""zh-CN"", ""en"")"),"Mudanjiang City")</f>
        <v>Mudanjiang City</v>
      </c>
      <c r="E1212" s="1" t="s">
        <v>1110</v>
      </c>
      <c r="F1212" s="1" t="str">
        <f>IFERROR(__xludf.DUMMYFUNCTION("GOOGLETRANSLATE(E1212, ""zh-CN"", ""en"")"),"Aimin District")</f>
        <v>Aimin District</v>
      </c>
      <c r="G1212" s="1">
        <v>2.31004E11</v>
      </c>
    </row>
    <row r="1213">
      <c r="A1213" s="1" t="s">
        <v>1005</v>
      </c>
      <c r="B1213" s="1" t="str">
        <f>IFERROR(__xludf.DUMMYFUNCTION("GOOGLETRANSLATE(A1139, ""zh-CN"", ""en"")"),"Heilongjiang Province")</f>
        <v>Heilongjiang Province</v>
      </c>
      <c r="C1213" s="1" t="s">
        <v>1015</v>
      </c>
      <c r="D1213" s="1" t="str">
        <f>IFERROR(__xludf.DUMMYFUNCTION("GOOGLETRANSLATE(C1213, ""zh-CN"", ""en"")"),"Mudanjiang City")</f>
        <v>Mudanjiang City</v>
      </c>
      <c r="E1213" s="1" t="s">
        <v>1111</v>
      </c>
      <c r="F1213" s="1" t="str">
        <f>IFERROR(__xludf.DUMMYFUNCTION("GOOGLETRANSLATE(E1213, ""zh-CN"", ""en"")"),"Xi'an")</f>
        <v>Xi'an</v>
      </c>
      <c r="G1213" s="1">
        <v>2.31005E11</v>
      </c>
    </row>
    <row r="1214">
      <c r="A1214" s="1" t="s">
        <v>1005</v>
      </c>
      <c r="B1214" s="1" t="str">
        <f>IFERROR(__xludf.DUMMYFUNCTION("GOOGLETRANSLATE(A1140, ""zh-CN"", ""en"")"),"Heilongjiang Province")</f>
        <v>Heilongjiang Province</v>
      </c>
      <c r="C1214" s="1" t="s">
        <v>1015</v>
      </c>
      <c r="D1214" s="1" t="str">
        <f>IFERROR(__xludf.DUMMYFUNCTION("GOOGLETRANSLATE(C1214, ""zh-CN"", ""en"")"),"Mudanjiang City")</f>
        <v>Mudanjiang City</v>
      </c>
      <c r="E1214" s="1" t="s">
        <v>1112</v>
      </c>
      <c r="F1214" s="1" t="str">
        <f>IFERROR(__xludf.DUMMYFUNCTION("GOOGLETRANSLATE(E1214, ""zh-CN"", ""en"")"),"Linkou County")</f>
        <v>Linkou County</v>
      </c>
      <c r="G1214" s="1">
        <v>2.31025E11</v>
      </c>
    </row>
    <row r="1215">
      <c r="A1215" s="1" t="s">
        <v>1005</v>
      </c>
      <c r="B1215" s="1" t="str">
        <f>IFERROR(__xludf.DUMMYFUNCTION("GOOGLETRANSLATE(A1141, ""zh-CN"", ""en"")"),"Heilongjiang Province")</f>
        <v>Heilongjiang Province</v>
      </c>
      <c r="C1215" s="1" t="s">
        <v>1015</v>
      </c>
      <c r="D1215" s="1" t="str">
        <f>IFERROR(__xludf.DUMMYFUNCTION("GOOGLETRANSLATE(C1215, ""zh-CN"", ""en"")"),"Mudanjiang City")</f>
        <v>Mudanjiang City</v>
      </c>
      <c r="E1215" s="1" t="s">
        <v>1113</v>
      </c>
      <c r="F1215" s="1" t="str">
        <f>IFERROR(__xludf.DUMMYFUNCTION("GOOGLETRANSLATE(E1215, ""zh-CN"", ""en"")"),"Mudanjiang Economic and Technological Development Zone")</f>
        <v>Mudanjiang Economic and Technological Development Zone</v>
      </c>
      <c r="G1215" s="1">
        <v>2.31071E11</v>
      </c>
    </row>
    <row r="1216">
      <c r="A1216" s="1" t="s">
        <v>1005</v>
      </c>
      <c r="B1216" s="1" t="str">
        <f>IFERROR(__xludf.DUMMYFUNCTION("GOOGLETRANSLATE(A1142, ""zh-CN"", ""en"")"),"Heilongjiang Province")</f>
        <v>Heilongjiang Province</v>
      </c>
      <c r="C1216" s="1" t="s">
        <v>1015</v>
      </c>
      <c r="D1216" s="1" t="str">
        <f>IFERROR(__xludf.DUMMYFUNCTION("GOOGLETRANSLATE(C1216, ""zh-CN"", ""en"")"),"Mudanjiang City")</f>
        <v>Mudanjiang City</v>
      </c>
      <c r="E1216" s="1" t="s">
        <v>1114</v>
      </c>
      <c r="F1216" s="1" t="str">
        <f>IFERROR(__xludf.DUMMYFUNCTION("GOOGLETRANSLATE(E1216, ""zh-CN"", ""en"")"),"Suifenhe")</f>
        <v>Suifenhe</v>
      </c>
      <c r="G1216" s="1">
        <v>2.31081E11</v>
      </c>
    </row>
    <row r="1217">
      <c r="A1217" s="1" t="s">
        <v>1005</v>
      </c>
      <c r="B1217" s="1" t="str">
        <f>IFERROR(__xludf.DUMMYFUNCTION("GOOGLETRANSLATE(A1143, ""zh-CN"", ""en"")"),"Heilongjiang Province")</f>
        <v>Heilongjiang Province</v>
      </c>
      <c r="C1217" s="1" t="s">
        <v>1015</v>
      </c>
      <c r="D1217" s="1" t="str">
        <f>IFERROR(__xludf.DUMMYFUNCTION("GOOGLETRANSLATE(C1217, ""zh-CN"", ""en"")"),"Mudanjiang City")</f>
        <v>Mudanjiang City</v>
      </c>
      <c r="E1217" s="1" t="s">
        <v>1115</v>
      </c>
      <c r="F1217" s="1" t="str">
        <f>IFERROR(__xludf.DUMMYFUNCTION("GOOGLETRANSLATE(E1217, ""zh-CN"", ""en"")"),"Hailin City")</f>
        <v>Hailin City</v>
      </c>
      <c r="G1217" s="1">
        <v>2.31083E11</v>
      </c>
    </row>
    <row r="1218">
      <c r="A1218" s="1" t="s">
        <v>1005</v>
      </c>
      <c r="B1218" s="1" t="str">
        <f>IFERROR(__xludf.DUMMYFUNCTION("GOOGLETRANSLATE(A1144, ""zh-CN"", ""en"")"),"Heilongjiang Province")</f>
        <v>Heilongjiang Province</v>
      </c>
      <c r="C1218" s="1" t="s">
        <v>1015</v>
      </c>
      <c r="D1218" s="1" t="str">
        <f>IFERROR(__xludf.DUMMYFUNCTION("GOOGLETRANSLATE(C1218, ""zh-CN"", ""en"")"),"Mudanjiang City")</f>
        <v>Mudanjiang City</v>
      </c>
      <c r="E1218" s="1" t="s">
        <v>1116</v>
      </c>
      <c r="F1218" s="1" t="str">
        <f>IFERROR(__xludf.DUMMYFUNCTION("GOOGLETRANSLATE(E1218, ""zh-CN"", ""en"")"),"Ning'an City")</f>
        <v>Ning'an City</v>
      </c>
      <c r="G1218" s="1">
        <v>2.31084E11</v>
      </c>
    </row>
    <row r="1219">
      <c r="A1219" s="1" t="s">
        <v>1005</v>
      </c>
      <c r="B1219" s="1" t="str">
        <f>IFERROR(__xludf.DUMMYFUNCTION("GOOGLETRANSLATE(A1145, ""zh-CN"", ""en"")"),"Heilongjiang Province")</f>
        <v>Heilongjiang Province</v>
      </c>
      <c r="C1219" s="1" t="s">
        <v>1015</v>
      </c>
      <c r="D1219" s="1" t="str">
        <f>IFERROR(__xludf.DUMMYFUNCTION("GOOGLETRANSLATE(C1219, ""zh-CN"", ""en"")"),"Mudanjiang City")</f>
        <v>Mudanjiang City</v>
      </c>
      <c r="E1219" s="1" t="s">
        <v>1117</v>
      </c>
      <c r="F1219" s="1" t="str">
        <f>IFERROR(__xludf.DUMMYFUNCTION("GOOGLETRANSLATE(E1219, ""zh-CN"", ""en"")"),"Mu Emperor City")</f>
        <v>Mu Emperor City</v>
      </c>
      <c r="G1219" s="1">
        <v>2.31085E11</v>
      </c>
    </row>
    <row r="1220">
      <c r="A1220" s="1" t="s">
        <v>1005</v>
      </c>
      <c r="B1220" s="1" t="str">
        <f>IFERROR(__xludf.DUMMYFUNCTION("GOOGLETRANSLATE(A1146, ""zh-CN"", ""en"")"),"Heilongjiang Province")</f>
        <v>Heilongjiang Province</v>
      </c>
      <c r="C1220" s="1" t="s">
        <v>1015</v>
      </c>
      <c r="D1220" s="1" t="str">
        <f>IFERROR(__xludf.DUMMYFUNCTION("GOOGLETRANSLATE(C1220, ""zh-CN"", ""en"")"),"Mudanjiang City")</f>
        <v>Mudanjiang City</v>
      </c>
      <c r="E1220" s="1" t="s">
        <v>1118</v>
      </c>
      <c r="F1220" s="1" t="str">
        <f>IFERROR(__xludf.DUMMYFUNCTION("GOOGLETRANSLATE(E1220, ""zh-CN"", ""en"")"),"Dongning")</f>
        <v>Dongning</v>
      </c>
      <c r="G1220" s="1">
        <v>2.31086E11</v>
      </c>
    </row>
    <row r="1221">
      <c r="A1221" s="1" t="s">
        <v>1005</v>
      </c>
      <c r="B1221" s="1" t="str">
        <f>IFERROR(__xludf.DUMMYFUNCTION("GOOGLETRANSLATE(A1147, ""zh-CN"", ""en"")"),"Heilongjiang Province")</f>
        <v>Heilongjiang Province</v>
      </c>
      <c r="C1221" s="1" t="s">
        <v>1016</v>
      </c>
      <c r="D1221" s="1" t="str">
        <f>IFERROR(__xludf.DUMMYFUNCTION("GOOGLETRANSLATE(C1221, ""zh-CN"", ""en"")"),"Heihe City")</f>
        <v>Heihe City</v>
      </c>
      <c r="E1221" s="1" t="s">
        <v>24</v>
      </c>
      <c r="F1221" s="1" t="str">
        <f>IFERROR(__xludf.DUMMYFUNCTION("GOOGLETRANSLATE(E1221, ""zh-CN"", ""en"")"),"City area")</f>
        <v>City area</v>
      </c>
      <c r="G1221" s="1">
        <v>2.31101E11</v>
      </c>
    </row>
    <row r="1222">
      <c r="A1222" s="1" t="s">
        <v>1005</v>
      </c>
      <c r="B1222" s="1" t="str">
        <f>IFERROR(__xludf.DUMMYFUNCTION("GOOGLETRANSLATE(A1148, ""zh-CN"", ""en"")"),"Heilongjiang Province")</f>
        <v>Heilongjiang Province</v>
      </c>
      <c r="C1222" s="1" t="s">
        <v>1016</v>
      </c>
      <c r="D1222" s="1" t="str">
        <f>IFERROR(__xludf.DUMMYFUNCTION("GOOGLETRANSLATE(C1222, ""zh-CN"", ""en"")"),"Heihe City")</f>
        <v>Heihe City</v>
      </c>
      <c r="E1222" s="1" t="s">
        <v>1119</v>
      </c>
      <c r="F1222" s="1" t="str">
        <f>IFERROR(__xludf.DUMMYFUNCTION("GOOGLETRANSLATE(E1222, ""zh-CN"", ""en"")"),"Aihui District")</f>
        <v>Aihui District</v>
      </c>
      <c r="G1222" s="1">
        <v>2.31102E11</v>
      </c>
    </row>
    <row r="1223">
      <c r="A1223" s="1" t="s">
        <v>1005</v>
      </c>
      <c r="B1223" s="1" t="str">
        <f>IFERROR(__xludf.DUMMYFUNCTION("GOOGLETRANSLATE(A1149, ""zh-CN"", ""en"")"),"Heilongjiang Province")</f>
        <v>Heilongjiang Province</v>
      </c>
      <c r="C1223" s="1" t="s">
        <v>1016</v>
      </c>
      <c r="D1223" s="1" t="str">
        <f>IFERROR(__xludf.DUMMYFUNCTION("GOOGLETRANSLATE(C1223, ""zh-CN"", ""en"")"),"Heihe City")</f>
        <v>Heihe City</v>
      </c>
      <c r="E1223" s="1" t="s">
        <v>1120</v>
      </c>
      <c r="F1223" s="1" t="str">
        <f>IFERROR(__xludf.DUMMYFUNCTION("GOOGLETRANSLATE(E1223, ""zh-CN"", ""en"")"),"Xunke County")</f>
        <v>Xunke County</v>
      </c>
      <c r="G1223" s="1">
        <v>2.31123E11</v>
      </c>
    </row>
    <row r="1224">
      <c r="A1224" s="1" t="s">
        <v>1005</v>
      </c>
      <c r="B1224" s="1" t="str">
        <f>IFERROR(__xludf.DUMMYFUNCTION("GOOGLETRANSLATE(A1150, ""zh-CN"", ""en"")"),"Heilongjiang Province")</f>
        <v>Heilongjiang Province</v>
      </c>
      <c r="C1224" s="1" t="s">
        <v>1016</v>
      </c>
      <c r="D1224" s="1" t="str">
        <f>IFERROR(__xludf.DUMMYFUNCTION("GOOGLETRANSLATE(C1224, ""zh-CN"", ""en"")"),"Heihe City")</f>
        <v>Heihe City</v>
      </c>
      <c r="E1224" s="1" t="s">
        <v>1121</v>
      </c>
      <c r="F1224" s="1" t="str">
        <f>IFERROR(__xludf.DUMMYFUNCTION("GOOGLETRANSLATE(E1224, ""zh-CN"", ""en"")"),"Sun Wu County")</f>
        <v>Sun Wu County</v>
      </c>
      <c r="G1224" s="1">
        <v>2.31124E11</v>
      </c>
    </row>
    <row r="1225">
      <c r="A1225" s="1" t="s">
        <v>1005</v>
      </c>
      <c r="B1225" s="1" t="str">
        <f>IFERROR(__xludf.DUMMYFUNCTION("GOOGLETRANSLATE(A1151, ""zh-CN"", ""en"")"),"Heilongjiang Province")</f>
        <v>Heilongjiang Province</v>
      </c>
      <c r="C1225" s="1" t="s">
        <v>1016</v>
      </c>
      <c r="D1225" s="1" t="str">
        <f>IFERROR(__xludf.DUMMYFUNCTION("GOOGLETRANSLATE(C1225, ""zh-CN"", ""en"")"),"Heihe City")</f>
        <v>Heihe City</v>
      </c>
      <c r="E1225" s="1" t="s">
        <v>1122</v>
      </c>
      <c r="F1225" s="1" t="str">
        <f>IFERROR(__xludf.DUMMYFUNCTION("GOOGLETRANSLATE(E1225, ""zh-CN"", ""en"")"),"Bei'an")</f>
        <v>Bei'an</v>
      </c>
      <c r="G1225" s="1">
        <v>2.31181E11</v>
      </c>
    </row>
    <row r="1226">
      <c r="A1226" s="1" t="s">
        <v>1005</v>
      </c>
      <c r="B1226" s="1" t="str">
        <f>IFERROR(__xludf.DUMMYFUNCTION("GOOGLETRANSLATE(A1152, ""zh-CN"", ""en"")"),"Heilongjiang Province")</f>
        <v>Heilongjiang Province</v>
      </c>
      <c r="C1226" s="1" t="s">
        <v>1016</v>
      </c>
      <c r="D1226" s="1" t="str">
        <f>IFERROR(__xludf.DUMMYFUNCTION("GOOGLETRANSLATE(C1226, ""zh-CN"", ""en"")"),"Heihe City")</f>
        <v>Heihe City</v>
      </c>
      <c r="E1226" s="1" t="s">
        <v>1123</v>
      </c>
      <c r="F1226" s="1" t="str">
        <f>IFERROR(__xludf.DUMMYFUNCTION("GOOGLETRANSLATE(E1226, ""zh-CN"", ""en"")"),"Wu Dalian Chishi")</f>
        <v>Wu Dalian Chishi</v>
      </c>
      <c r="G1226" s="1">
        <v>2.31182E11</v>
      </c>
    </row>
    <row r="1227">
      <c r="A1227" s="1" t="s">
        <v>1005</v>
      </c>
      <c r="B1227" s="1" t="str">
        <f>IFERROR(__xludf.DUMMYFUNCTION("GOOGLETRANSLATE(A1153, ""zh-CN"", ""en"")"),"Heilongjiang Province")</f>
        <v>Heilongjiang Province</v>
      </c>
      <c r="C1227" s="1" t="s">
        <v>1016</v>
      </c>
      <c r="D1227" s="1" t="str">
        <f>IFERROR(__xludf.DUMMYFUNCTION("GOOGLETRANSLATE(C1227, ""zh-CN"", ""en"")"),"Heihe City")</f>
        <v>Heihe City</v>
      </c>
      <c r="E1227" s="1" t="s">
        <v>1124</v>
      </c>
      <c r="F1227" s="1" t="str">
        <f>IFERROR(__xludf.DUMMYFUNCTION("GOOGLETRANSLATE(E1227, ""zh-CN"", ""en"")"),"Nenjiang City")</f>
        <v>Nenjiang City</v>
      </c>
      <c r="G1227" s="1">
        <v>2.31183E11</v>
      </c>
    </row>
    <row r="1228">
      <c r="A1228" s="1" t="s">
        <v>1005</v>
      </c>
      <c r="B1228" s="1" t="str">
        <f>IFERROR(__xludf.DUMMYFUNCTION("GOOGLETRANSLATE(A1154, ""zh-CN"", ""en"")"),"Heilongjiang Province")</f>
        <v>Heilongjiang Province</v>
      </c>
      <c r="C1228" s="1" t="s">
        <v>1017</v>
      </c>
      <c r="D1228" s="1" t="str">
        <f>IFERROR(__xludf.DUMMYFUNCTION("GOOGLETRANSLATE(C1228, ""zh-CN"", ""en"")"),"Suihua City")</f>
        <v>Suihua City</v>
      </c>
      <c r="E1228" s="1" t="s">
        <v>24</v>
      </c>
      <c r="F1228" s="1" t="str">
        <f>IFERROR(__xludf.DUMMYFUNCTION("GOOGLETRANSLATE(E1228, ""zh-CN"", ""en"")"),"City area")</f>
        <v>City area</v>
      </c>
      <c r="G1228" s="1">
        <v>2.31201E11</v>
      </c>
    </row>
    <row r="1229">
      <c r="A1229" s="1" t="s">
        <v>1005</v>
      </c>
      <c r="B1229" s="1" t="str">
        <f>IFERROR(__xludf.DUMMYFUNCTION("GOOGLETRANSLATE(A1155, ""zh-CN"", ""en"")"),"Heilongjiang Province")</f>
        <v>Heilongjiang Province</v>
      </c>
      <c r="C1229" s="1" t="s">
        <v>1017</v>
      </c>
      <c r="D1229" s="1" t="str">
        <f>IFERROR(__xludf.DUMMYFUNCTION("GOOGLETRANSLATE(C1229, ""zh-CN"", ""en"")"),"Suihua City")</f>
        <v>Suihua City</v>
      </c>
      <c r="E1229" s="1" t="s">
        <v>1125</v>
      </c>
      <c r="F1229" s="1" t="str">
        <f>IFERROR(__xludf.DUMMYFUNCTION("GOOGLETRANSLATE(E1229, ""zh-CN"", ""en"")"),"Northern forest area")</f>
        <v>Northern forest area</v>
      </c>
      <c r="G1229" s="1">
        <v>2.31202E11</v>
      </c>
    </row>
    <row r="1230">
      <c r="A1230" s="1" t="s">
        <v>1005</v>
      </c>
      <c r="B1230" s="1" t="str">
        <f>IFERROR(__xludf.DUMMYFUNCTION("GOOGLETRANSLATE(A1156, ""zh-CN"", ""en"")"),"Heilongjiang Province")</f>
        <v>Heilongjiang Province</v>
      </c>
      <c r="C1230" s="1" t="s">
        <v>1017</v>
      </c>
      <c r="D1230" s="1" t="str">
        <f>IFERROR(__xludf.DUMMYFUNCTION("GOOGLETRANSLATE(C1230, ""zh-CN"", ""en"")"),"Suihua City")</f>
        <v>Suihua City</v>
      </c>
      <c r="E1230" s="1" t="s">
        <v>1126</v>
      </c>
      <c r="F1230" s="1" t="str">
        <f>IFERROR(__xludf.DUMMYFUNCTION("GOOGLETRANSLATE(E1230, ""zh-CN"", ""en"")"),"Wangkui County")</f>
        <v>Wangkui County</v>
      </c>
      <c r="G1230" s="1">
        <v>2.31221E11</v>
      </c>
    </row>
    <row r="1231">
      <c r="A1231" s="1" t="s">
        <v>1005</v>
      </c>
      <c r="B1231" s="1" t="str">
        <f>IFERROR(__xludf.DUMMYFUNCTION("GOOGLETRANSLATE(A1157, ""zh-CN"", ""en"")"),"Heilongjiang Province")</f>
        <v>Heilongjiang Province</v>
      </c>
      <c r="C1231" s="1" t="s">
        <v>1017</v>
      </c>
      <c r="D1231" s="1" t="str">
        <f>IFERROR(__xludf.DUMMYFUNCTION("GOOGLETRANSLATE(C1231, ""zh-CN"", ""en"")"),"Suihua City")</f>
        <v>Suihua City</v>
      </c>
      <c r="E1231" s="1" t="s">
        <v>1127</v>
      </c>
      <c r="F1231" s="1" t="str">
        <f>IFERROR(__xludf.DUMMYFUNCTION("GOOGLETRANSLATE(E1231, ""zh-CN"", ""en"")"),"Lanxi County")</f>
        <v>Lanxi County</v>
      </c>
      <c r="G1231" s="1">
        <v>2.31222E11</v>
      </c>
    </row>
    <row r="1232">
      <c r="A1232" s="1" t="s">
        <v>1005</v>
      </c>
      <c r="B1232" s="1" t="str">
        <f>IFERROR(__xludf.DUMMYFUNCTION("GOOGLETRANSLATE(A1158, ""zh-CN"", ""en"")"),"Heilongjiang Province")</f>
        <v>Heilongjiang Province</v>
      </c>
      <c r="C1232" s="1" t="s">
        <v>1017</v>
      </c>
      <c r="D1232" s="1" t="str">
        <f>IFERROR(__xludf.DUMMYFUNCTION("GOOGLETRANSLATE(C1232, ""zh-CN"", ""en"")"),"Suihua City")</f>
        <v>Suihua City</v>
      </c>
      <c r="E1232" s="1" t="s">
        <v>1128</v>
      </c>
      <c r="F1232" s="1" t="str">
        <f>IFERROR(__xludf.DUMMYFUNCTION("GOOGLETRANSLATE(E1232, ""zh-CN"", ""en"")"),"Qinggang County")</f>
        <v>Qinggang County</v>
      </c>
      <c r="G1232" s="1">
        <v>2.31223E11</v>
      </c>
    </row>
    <row r="1233">
      <c r="A1233" s="1" t="s">
        <v>1005</v>
      </c>
      <c r="B1233" s="1" t="str">
        <f>IFERROR(__xludf.DUMMYFUNCTION("GOOGLETRANSLATE(A1159, ""zh-CN"", ""en"")"),"Heilongjiang Province")</f>
        <v>Heilongjiang Province</v>
      </c>
      <c r="C1233" s="1" t="s">
        <v>1017</v>
      </c>
      <c r="D1233" s="1" t="str">
        <f>IFERROR(__xludf.DUMMYFUNCTION("GOOGLETRANSLATE(C1233, ""zh-CN"", ""en"")"),"Suihua City")</f>
        <v>Suihua City</v>
      </c>
      <c r="E1233" s="1" t="s">
        <v>1129</v>
      </c>
      <c r="F1233" s="1" t="str">
        <f>IFERROR(__xludf.DUMMYFUNCTION("GOOGLETRANSLATE(E1233, ""zh-CN"", ""en"")"),"Qing'an County")</f>
        <v>Qing'an County</v>
      </c>
      <c r="G1233" s="1">
        <v>2.31224E11</v>
      </c>
    </row>
    <row r="1234">
      <c r="A1234" s="1" t="s">
        <v>1005</v>
      </c>
      <c r="B1234" s="1" t="str">
        <f>IFERROR(__xludf.DUMMYFUNCTION("GOOGLETRANSLATE(A1160, ""zh-CN"", ""en"")"),"Heilongjiang Province")</f>
        <v>Heilongjiang Province</v>
      </c>
      <c r="C1234" s="1" t="s">
        <v>1017</v>
      </c>
      <c r="D1234" s="1" t="str">
        <f>IFERROR(__xludf.DUMMYFUNCTION("GOOGLETRANSLATE(C1234, ""zh-CN"", ""en"")"),"Suihua City")</f>
        <v>Suihua City</v>
      </c>
      <c r="E1234" s="1" t="s">
        <v>1130</v>
      </c>
      <c r="F1234" s="1" t="str">
        <f>IFERROR(__xludf.DUMMYFUNCTION("GOOGLETRANSLATE(E1234, ""zh-CN"", ""en"")"),"Mingshui County")</f>
        <v>Mingshui County</v>
      </c>
      <c r="G1234" s="1">
        <v>2.31225E11</v>
      </c>
    </row>
    <row r="1235">
      <c r="A1235" s="1" t="s">
        <v>1005</v>
      </c>
      <c r="B1235" s="1" t="str">
        <f>IFERROR(__xludf.DUMMYFUNCTION("GOOGLETRANSLATE(A1161, ""zh-CN"", ""en"")"),"Heilongjiang Province")</f>
        <v>Heilongjiang Province</v>
      </c>
      <c r="C1235" s="1" t="s">
        <v>1017</v>
      </c>
      <c r="D1235" s="1" t="str">
        <f>IFERROR(__xludf.DUMMYFUNCTION("GOOGLETRANSLATE(C1235, ""zh-CN"", ""en"")"),"Suihua City")</f>
        <v>Suihua City</v>
      </c>
      <c r="E1235" s="1" t="s">
        <v>1131</v>
      </c>
      <c r="F1235" s="1" t="str">
        <f>IFERROR(__xludf.DUMMYFUNCTION("GOOGLETRANSLATE(E1235, ""zh-CN"", ""en"")"),"Suilie County")</f>
        <v>Suilie County</v>
      </c>
      <c r="G1235" s="1">
        <v>2.31226E11</v>
      </c>
    </row>
    <row r="1236">
      <c r="A1236" s="1" t="s">
        <v>1005</v>
      </c>
      <c r="B1236" s="1" t="str">
        <f>IFERROR(__xludf.DUMMYFUNCTION("GOOGLETRANSLATE(A1162, ""zh-CN"", ""en"")"),"Heilongjiang Province")</f>
        <v>Heilongjiang Province</v>
      </c>
      <c r="C1236" s="1" t="s">
        <v>1017</v>
      </c>
      <c r="D1236" s="1" t="str">
        <f>IFERROR(__xludf.DUMMYFUNCTION("GOOGLETRANSLATE(C1236, ""zh-CN"", ""en"")"),"Suihua City")</f>
        <v>Suihua City</v>
      </c>
      <c r="E1236" s="1" t="s">
        <v>1132</v>
      </c>
      <c r="F1236" s="1" t="str">
        <f>IFERROR(__xludf.DUMMYFUNCTION("GOOGLETRANSLATE(E1236, ""zh-CN"", ""en"")"),"Anda City")</f>
        <v>Anda City</v>
      </c>
      <c r="G1236" s="1">
        <v>2.31281E11</v>
      </c>
    </row>
    <row r="1237">
      <c r="A1237" s="1" t="s">
        <v>1005</v>
      </c>
      <c r="B1237" s="1" t="str">
        <f>IFERROR(__xludf.DUMMYFUNCTION("GOOGLETRANSLATE(A1163, ""zh-CN"", ""en"")"),"Heilongjiang Province")</f>
        <v>Heilongjiang Province</v>
      </c>
      <c r="C1237" s="1" t="s">
        <v>1017</v>
      </c>
      <c r="D1237" s="1" t="str">
        <f>IFERROR(__xludf.DUMMYFUNCTION("GOOGLETRANSLATE(C1237, ""zh-CN"", ""en"")"),"Suihua City")</f>
        <v>Suihua City</v>
      </c>
      <c r="E1237" s="1" t="s">
        <v>1133</v>
      </c>
      <c r="F1237" s="1" t="str">
        <f>IFERROR(__xludf.DUMMYFUNCTION("GOOGLETRANSLATE(E1237, ""zh-CN"", ""en"")"),"Zhaodong City")</f>
        <v>Zhaodong City</v>
      </c>
      <c r="G1237" s="1">
        <v>2.31282E11</v>
      </c>
    </row>
    <row r="1238">
      <c r="A1238" s="1" t="s">
        <v>1005</v>
      </c>
      <c r="B1238" s="1" t="str">
        <f>IFERROR(__xludf.DUMMYFUNCTION("GOOGLETRANSLATE(A1164, ""zh-CN"", ""en"")"),"Heilongjiang Province")</f>
        <v>Heilongjiang Province</v>
      </c>
      <c r="C1238" s="1" t="s">
        <v>1017</v>
      </c>
      <c r="D1238" s="1" t="str">
        <f>IFERROR(__xludf.DUMMYFUNCTION("GOOGLETRANSLATE(C1238, ""zh-CN"", ""en"")"),"Suihua City")</f>
        <v>Suihua City</v>
      </c>
      <c r="E1238" s="1" t="s">
        <v>1134</v>
      </c>
      <c r="F1238" s="1" t="str">
        <f>IFERROR(__xludf.DUMMYFUNCTION("GOOGLETRANSLATE(E1238, ""zh-CN"", ""en"")"),"Helen City")</f>
        <v>Helen City</v>
      </c>
      <c r="G1238" s="1">
        <v>2.31283E11</v>
      </c>
    </row>
    <row r="1239">
      <c r="A1239" s="1" t="s">
        <v>1005</v>
      </c>
      <c r="B1239" s="1" t="str">
        <f>IFERROR(__xludf.DUMMYFUNCTION("GOOGLETRANSLATE(A1165, ""zh-CN"", ""en"")"),"Heilongjiang Province")</f>
        <v>Heilongjiang Province</v>
      </c>
      <c r="C1239" s="1" t="s">
        <v>1018</v>
      </c>
      <c r="D1239" s="1" t="str">
        <f>IFERROR(__xludf.DUMMYFUNCTION("GOOGLETRANSLATE(C1239, ""zh-CN"", ""en"")"),"Daxinganling area")</f>
        <v>Daxinganling area</v>
      </c>
      <c r="E1239" s="1" t="s">
        <v>1135</v>
      </c>
      <c r="F1239" s="1" t="str">
        <f>IFERROR(__xludf.DUMMYFUNCTION("GOOGLETRANSLATE(E1239, ""zh-CN"", ""en"")"),"Mohe City")</f>
        <v>Mohe City</v>
      </c>
      <c r="G1239" s="1">
        <v>2.32701E11</v>
      </c>
    </row>
    <row r="1240">
      <c r="A1240" s="1" t="s">
        <v>1005</v>
      </c>
      <c r="B1240" s="1" t="str">
        <f>IFERROR(__xludf.DUMMYFUNCTION("GOOGLETRANSLATE(A1166, ""zh-CN"", ""en"")"),"Heilongjiang Province")</f>
        <v>Heilongjiang Province</v>
      </c>
      <c r="C1240" s="1" t="s">
        <v>1018</v>
      </c>
      <c r="D1240" s="1" t="str">
        <f>IFERROR(__xludf.DUMMYFUNCTION("GOOGLETRANSLATE(C1240, ""zh-CN"", ""en"")"),"Daxinganling area")</f>
        <v>Daxinganling area</v>
      </c>
      <c r="E1240" s="1" t="s">
        <v>1136</v>
      </c>
      <c r="F1240" s="1" t="str">
        <f>IFERROR(__xludf.DUMMYFUNCTION("GOOGLETRANSLATE(E1240, ""zh-CN"", ""en"")"),"Homa County")</f>
        <v>Homa County</v>
      </c>
      <c r="G1240" s="1">
        <v>2.32721E11</v>
      </c>
    </row>
    <row r="1241">
      <c r="A1241" s="1" t="s">
        <v>1005</v>
      </c>
      <c r="B1241" s="1" t="str">
        <f>IFERROR(__xludf.DUMMYFUNCTION("GOOGLETRANSLATE(A1167, ""zh-CN"", ""en"")"),"Heilongjiang Province")</f>
        <v>Heilongjiang Province</v>
      </c>
      <c r="C1241" s="1" t="s">
        <v>1018</v>
      </c>
      <c r="D1241" s="1" t="str">
        <f>IFERROR(__xludf.DUMMYFUNCTION("GOOGLETRANSLATE(C1241, ""zh-CN"", ""en"")"),"Daxinganling area")</f>
        <v>Daxinganling area</v>
      </c>
      <c r="E1241" s="1" t="s">
        <v>1137</v>
      </c>
      <c r="F1241" s="1" t="str">
        <f>IFERROR(__xludf.DUMMYFUNCTION("GOOGLETRANSLATE(E1241, ""zh-CN"", ""en"")"),"Tahe County")</f>
        <v>Tahe County</v>
      </c>
      <c r="G1241" s="1">
        <v>2.32722E11</v>
      </c>
    </row>
    <row r="1242">
      <c r="A1242" s="1" t="s">
        <v>1005</v>
      </c>
      <c r="B1242" s="1" t="str">
        <f>IFERROR(__xludf.DUMMYFUNCTION("GOOGLETRANSLATE(A1168, ""zh-CN"", ""en"")"),"Heilongjiang Province")</f>
        <v>Heilongjiang Province</v>
      </c>
      <c r="C1242" s="1" t="s">
        <v>1018</v>
      </c>
      <c r="D1242" s="1" t="str">
        <f>IFERROR(__xludf.DUMMYFUNCTION("GOOGLETRANSLATE(C1242, ""zh-CN"", ""en"")"),"Daxinganling area")</f>
        <v>Daxinganling area</v>
      </c>
      <c r="E1242" s="1" t="s">
        <v>1138</v>
      </c>
      <c r="F1242" s="1" t="str">
        <f>IFERROR(__xludf.DUMMYFUNCTION("GOOGLETRANSLATE(E1242, ""zh-CN"", ""en"")"),"Gagdagi District")</f>
        <v>Gagdagi District</v>
      </c>
      <c r="G1242" s="1">
        <v>2.32761E11</v>
      </c>
    </row>
    <row r="1243">
      <c r="A1243" s="1" t="s">
        <v>1005</v>
      </c>
      <c r="B1243" s="1" t="str">
        <f>IFERROR(__xludf.DUMMYFUNCTION("GOOGLETRANSLATE(A1169, ""zh-CN"", ""en"")"),"Heilongjiang Province")</f>
        <v>Heilongjiang Province</v>
      </c>
      <c r="C1243" s="1" t="s">
        <v>1018</v>
      </c>
      <c r="D1243" s="1" t="str">
        <f>IFERROR(__xludf.DUMMYFUNCTION("GOOGLETRANSLATE(C1243, ""zh-CN"", ""en"")"),"Daxinganling area")</f>
        <v>Daxinganling area</v>
      </c>
      <c r="E1243" s="1" t="s">
        <v>1139</v>
      </c>
      <c r="F1243" s="1" t="str">
        <f>IFERROR(__xludf.DUMMYFUNCTION("GOOGLETRANSLATE(E1243, ""zh-CN"", ""en"")"),"Songling District")</f>
        <v>Songling District</v>
      </c>
      <c r="G1243" s="1">
        <v>2.32762E11</v>
      </c>
    </row>
    <row r="1244">
      <c r="A1244" s="1" t="s">
        <v>1005</v>
      </c>
      <c r="B1244" s="1" t="str">
        <f>IFERROR(__xludf.DUMMYFUNCTION("GOOGLETRANSLATE(A1170, ""zh-CN"", ""en"")"),"Heilongjiang Province")</f>
        <v>Heilongjiang Province</v>
      </c>
      <c r="C1244" s="1" t="s">
        <v>1018</v>
      </c>
      <c r="D1244" s="1" t="str">
        <f>IFERROR(__xludf.DUMMYFUNCTION("GOOGLETRANSLATE(C1244, ""zh-CN"", ""en"")"),"Daxinganling area")</f>
        <v>Daxinganling area</v>
      </c>
      <c r="E1244" s="1" t="s">
        <v>1140</v>
      </c>
      <c r="F1244" s="1" t="str">
        <f>IFERROR(__xludf.DUMMYFUNCTION("GOOGLETRANSLATE(E1244, ""zh-CN"", ""en"")"),"Xinlin District")</f>
        <v>Xinlin District</v>
      </c>
      <c r="G1244" s="1">
        <v>2.32763E11</v>
      </c>
    </row>
    <row r="1245">
      <c r="A1245" s="1" t="s">
        <v>1005</v>
      </c>
      <c r="B1245" s="1" t="str">
        <f>IFERROR(__xludf.DUMMYFUNCTION("GOOGLETRANSLATE(A1171, ""zh-CN"", ""en"")"),"Heilongjiang Province")</f>
        <v>Heilongjiang Province</v>
      </c>
      <c r="C1245" s="1" t="s">
        <v>1018</v>
      </c>
      <c r="D1245" s="1" t="str">
        <f>IFERROR(__xludf.DUMMYFUNCTION("GOOGLETRANSLATE(C1245, ""zh-CN"", ""en"")"),"Daxinganling area")</f>
        <v>Daxinganling area</v>
      </c>
      <c r="E1245" s="1" t="s">
        <v>1141</v>
      </c>
      <c r="F1245" s="1" t="str">
        <f>IFERROR(__xludf.DUMMYFUNCTION("GOOGLETRANSLATE(E1245, ""zh-CN"", ""en"")"),"Hoh Central District")</f>
        <v>Hoh Central District</v>
      </c>
      <c r="G1245" s="1">
        <v>2.32764E11</v>
      </c>
    </row>
    <row r="1246">
      <c r="A1246" s="1" t="s">
        <v>1142</v>
      </c>
      <c r="B1246" s="1" t="str">
        <f>IFERROR(__xludf.DUMMYFUNCTION("GOOGLETRANSLATE(A1172, ""zh-CN"", ""en"")"),"Heilongjiang Province")</f>
        <v>Heilongjiang Province</v>
      </c>
      <c r="C1246" s="1" t="s">
        <v>8</v>
      </c>
      <c r="D1246" s="1" t="str">
        <f>IFERROR(__xludf.DUMMYFUNCTION("GOOGLETRANSLATE(C1246, ""zh-CN"", ""en"")"),"Na")</f>
        <v>Na</v>
      </c>
      <c r="E1246" s="1" t="s">
        <v>8</v>
      </c>
      <c r="F1246" s="1" t="str">
        <f>IFERROR(__xludf.DUMMYFUNCTION("GOOGLETRANSLATE(E1246, ""zh-CN"", ""en"")"),"Na")</f>
        <v>Na</v>
      </c>
      <c r="G1246" s="1">
        <v>13.0</v>
      </c>
    </row>
    <row r="1247">
      <c r="A1247" s="1" t="s">
        <v>1142</v>
      </c>
      <c r="B1247" s="1" t="str">
        <f>IFERROR(__xludf.DUMMYFUNCTION("GOOGLETRANSLATE(A1173, ""zh-CN"", ""en"")"),"Heilongjiang Province")</f>
        <v>Heilongjiang Province</v>
      </c>
      <c r="C1247" s="1" t="s">
        <v>1143</v>
      </c>
      <c r="D1247" s="1" t="str">
        <f>IFERROR(__xludf.DUMMYFUNCTION("GOOGLETRANSLATE(C1247, ""zh-CN"", ""en"")"),"Shijiazhuang City")</f>
        <v>Shijiazhuang City</v>
      </c>
      <c r="E1247" s="1" t="s">
        <v>8</v>
      </c>
      <c r="F1247" s="1" t="str">
        <f>IFERROR(__xludf.DUMMYFUNCTION("GOOGLETRANSLATE(E1247, ""zh-CN"", ""en"")"),"Na")</f>
        <v>Na</v>
      </c>
      <c r="G1247" s="1">
        <v>1.301E11</v>
      </c>
    </row>
    <row r="1248">
      <c r="A1248" s="1" t="s">
        <v>1142</v>
      </c>
      <c r="B1248" s="1" t="str">
        <f>IFERROR(__xludf.DUMMYFUNCTION("GOOGLETRANSLATE(A1174, ""zh-CN"", ""en"")"),"Heilongjiang Province")</f>
        <v>Heilongjiang Province</v>
      </c>
      <c r="C1248" s="1" t="s">
        <v>1144</v>
      </c>
      <c r="D1248" s="1" t="str">
        <f>IFERROR(__xludf.DUMMYFUNCTION("GOOGLETRANSLATE(C1248, ""zh-CN"", ""en"")"),"Tangshan City")</f>
        <v>Tangshan City</v>
      </c>
      <c r="E1248" s="1" t="s">
        <v>8</v>
      </c>
      <c r="F1248" s="1" t="str">
        <f>IFERROR(__xludf.DUMMYFUNCTION("GOOGLETRANSLATE(E1248, ""zh-CN"", ""en"")"),"Na")</f>
        <v>Na</v>
      </c>
      <c r="G1248" s="1">
        <v>1.302E11</v>
      </c>
    </row>
    <row r="1249">
      <c r="A1249" s="1" t="s">
        <v>1142</v>
      </c>
      <c r="B1249" s="1" t="str">
        <f>IFERROR(__xludf.DUMMYFUNCTION("GOOGLETRANSLATE(A1175, ""zh-CN"", ""en"")"),"Heilongjiang Province")</f>
        <v>Heilongjiang Province</v>
      </c>
      <c r="C1249" s="1" t="s">
        <v>1145</v>
      </c>
      <c r="D1249" s="1" t="str">
        <f>IFERROR(__xludf.DUMMYFUNCTION("GOOGLETRANSLATE(C1249, ""zh-CN"", ""en"")"),"Qinhuangdao City")</f>
        <v>Qinhuangdao City</v>
      </c>
      <c r="E1249" s="1" t="s">
        <v>8</v>
      </c>
      <c r="F1249" s="1" t="str">
        <f>IFERROR(__xludf.DUMMYFUNCTION("GOOGLETRANSLATE(E1249, ""zh-CN"", ""en"")"),"Na")</f>
        <v>Na</v>
      </c>
      <c r="G1249" s="1">
        <v>1.303E11</v>
      </c>
    </row>
    <row r="1250">
      <c r="A1250" s="1" t="s">
        <v>1142</v>
      </c>
      <c r="B1250" s="1" t="str">
        <f>IFERROR(__xludf.DUMMYFUNCTION("GOOGLETRANSLATE(A1176, ""zh-CN"", ""en"")"),"Heilongjiang Province")</f>
        <v>Heilongjiang Province</v>
      </c>
      <c r="C1250" s="1" t="s">
        <v>1146</v>
      </c>
      <c r="D1250" s="1" t="str">
        <f>IFERROR(__xludf.DUMMYFUNCTION("GOOGLETRANSLATE(C1250, ""zh-CN"", ""en"")"),"Handan")</f>
        <v>Handan</v>
      </c>
      <c r="E1250" s="1" t="s">
        <v>8</v>
      </c>
      <c r="F1250" s="1" t="str">
        <f>IFERROR(__xludf.DUMMYFUNCTION("GOOGLETRANSLATE(E1250, ""zh-CN"", ""en"")"),"Na")</f>
        <v>Na</v>
      </c>
      <c r="G1250" s="1">
        <v>1.304E11</v>
      </c>
    </row>
    <row r="1251">
      <c r="A1251" s="1" t="s">
        <v>1142</v>
      </c>
      <c r="B1251" s="1" t="str">
        <f>IFERROR(__xludf.DUMMYFUNCTION("GOOGLETRANSLATE(A1177, ""zh-CN"", ""en"")"),"Heilongjiang Province")</f>
        <v>Heilongjiang Province</v>
      </c>
      <c r="C1251" s="1" t="s">
        <v>1147</v>
      </c>
      <c r="D1251" s="1" t="str">
        <f>IFERROR(__xludf.DUMMYFUNCTION("GOOGLETRANSLATE(C1251, ""zh-CN"", ""en"")"),"Xingtai city")</f>
        <v>Xingtai city</v>
      </c>
      <c r="E1251" s="1" t="s">
        <v>8</v>
      </c>
      <c r="F1251" s="1" t="str">
        <f>IFERROR(__xludf.DUMMYFUNCTION("GOOGLETRANSLATE(E1251, ""zh-CN"", ""en"")"),"Na")</f>
        <v>Na</v>
      </c>
      <c r="G1251" s="1">
        <v>1.305E11</v>
      </c>
    </row>
    <row r="1252">
      <c r="A1252" s="1" t="s">
        <v>1142</v>
      </c>
      <c r="B1252" s="1" t="str">
        <f>IFERROR(__xludf.DUMMYFUNCTION("GOOGLETRANSLATE(A1178, ""zh-CN"", ""en"")"),"Heilongjiang Province")</f>
        <v>Heilongjiang Province</v>
      </c>
      <c r="C1252" s="1" t="s">
        <v>1148</v>
      </c>
      <c r="D1252" s="1" t="str">
        <f>IFERROR(__xludf.DUMMYFUNCTION("GOOGLETRANSLATE(C1252, ""zh-CN"", ""en"")"),"Baoding City")</f>
        <v>Baoding City</v>
      </c>
      <c r="E1252" s="1" t="s">
        <v>8</v>
      </c>
      <c r="F1252" s="1" t="str">
        <f>IFERROR(__xludf.DUMMYFUNCTION("GOOGLETRANSLATE(E1252, ""zh-CN"", ""en"")"),"Na")</f>
        <v>Na</v>
      </c>
      <c r="G1252" s="1">
        <v>1.306E11</v>
      </c>
    </row>
    <row r="1253">
      <c r="A1253" s="1" t="s">
        <v>1142</v>
      </c>
      <c r="B1253" s="1" t="str">
        <f>IFERROR(__xludf.DUMMYFUNCTION("GOOGLETRANSLATE(A1179, ""zh-CN"", ""en"")"),"Heilongjiang Province")</f>
        <v>Heilongjiang Province</v>
      </c>
      <c r="C1253" s="1" t="s">
        <v>1149</v>
      </c>
      <c r="D1253" s="1" t="str">
        <f>IFERROR(__xludf.DUMMYFUNCTION("GOOGLETRANSLATE(C1253, ""zh-CN"", ""en"")"),"Zhangjiakou City")</f>
        <v>Zhangjiakou City</v>
      </c>
      <c r="E1253" s="1" t="s">
        <v>8</v>
      </c>
      <c r="F1253" s="1" t="str">
        <f>IFERROR(__xludf.DUMMYFUNCTION("GOOGLETRANSLATE(E1253, ""zh-CN"", ""en"")"),"Na")</f>
        <v>Na</v>
      </c>
      <c r="G1253" s="1">
        <v>1.307E11</v>
      </c>
    </row>
    <row r="1254">
      <c r="A1254" s="1" t="s">
        <v>1142</v>
      </c>
      <c r="B1254" s="1" t="str">
        <f>IFERROR(__xludf.DUMMYFUNCTION("GOOGLETRANSLATE(A1180, ""zh-CN"", ""en"")"),"Heilongjiang Province")</f>
        <v>Heilongjiang Province</v>
      </c>
      <c r="C1254" s="1" t="s">
        <v>1150</v>
      </c>
      <c r="D1254" s="1" t="str">
        <f>IFERROR(__xludf.DUMMYFUNCTION("GOOGLETRANSLATE(C1254, ""zh-CN"", ""en"")"),"Chengde City")</f>
        <v>Chengde City</v>
      </c>
      <c r="E1254" s="1" t="s">
        <v>8</v>
      </c>
      <c r="F1254" s="1" t="str">
        <f>IFERROR(__xludf.DUMMYFUNCTION("GOOGLETRANSLATE(E1254, ""zh-CN"", ""en"")"),"Na")</f>
        <v>Na</v>
      </c>
      <c r="G1254" s="1">
        <v>1.308E11</v>
      </c>
    </row>
    <row r="1255">
      <c r="A1255" s="1" t="s">
        <v>1142</v>
      </c>
      <c r="B1255" s="1" t="str">
        <f>IFERROR(__xludf.DUMMYFUNCTION("GOOGLETRANSLATE(A1181, ""zh-CN"", ""en"")"),"Heilongjiang Province")</f>
        <v>Heilongjiang Province</v>
      </c>
      <c r="C1255" s="1" t="s">
        <v>1151</v>
      </c>
      <c r="D1255" s="1" t="str">
        <f>IFERROR(__xludf.DUMMYFUNCTION("GOOGLETRANSLATE(C1255, ""zh-CN"", ""en"")"),"Cangzhou")</f>
        <v>Cangzhou</v>
      </c>
      <c r="E1255" s="1" t="s">
        <v>8</v>
      </c>
      <c r="F1255" s="1" t="str">
        <f>IFERROR(__xludf.DUMMYFUNCTION("GOOGLETRANSLATE(E1255, ""zh-CN"", ""en"")"),"Na")</f>
        <v>Na</v>
      </c>
      <c r="G1255" s="1">
        <v>1.309E11</v>
      </c>
    </row>
    <row r="1256">
      <c r="A1256" s="1" t="s">
        <v>1142</v>
      </c>
      <c r="B1256" s="1" t="str">
        <f>IFERROR(__xludf.DUMMYFUNCTION("GOOGLETRANSLATE(A1182, ""zh-CN"", ""en"")"),"Heilongjiang Province")</f>
        <v>Heilongjiang Province</v>
      </c>
      <c r="C1256" s="1" t="s">
        <v>1152</v>
      </c>
      <c r="D1256" s="1" t="str">
        <f>IFERROR(__xludf.DUMMYFUNCTION("GOOGLETRANSLATE(C1256, ""zh-CN"", ""en"")"),"Langfang City")</f>
        <v>Langfang City</v>
      </c>
      <c r="E1256" s="1" t="s">
        <v>8</v>
      </c>
      <c r="F1256" s="1" t="str">
        <f>IFERROR(__xludf.DUMMYFUNCTION("GOOGLETRANSLATE(E1256, ""zh-CN"", ""en"")"),"Na")</f>
        <v>Na</v>
      </c>
      <c r="G1256" s="1">
        <v>1.31E11</v>
      </c>
    </row>
    <row r="1257">
      <c r="A1257" s="1" t="s">
        <v>1142</v>
      </c>
      <c r="B1257" s="1" t="str">
        <f>IFERROR(__xludf.DUMMYFUNCTION("GOOGLETRANSLATE(A1183, ""zh-CN"", ""en"")"),"Heilongjiang Province")</f>
        <v>Heilongjiang Province</v>
      </c>
      <c r="C1257" s="1" t="s">
        <v>1153</v>
      </c>
      <c r="D1257" s="1" t="str">
        <f>IFERROR(__xludf.DUMMYFUNCTION("GOOGLETRANSLATE(C1257, ""zh-CN"", ""en"")"),"Hengshui City")</f>
        <v>Hengshui City</v>
      </c>
      <c r="E1257" s="1" t="s">
        <v>8</v>
      </c>
      <c r="F1257" s="1" t="str">
        <f>IFERROR(__xludf.DUMMYFUNCTION("GOOGLETRANSLATE(E1257, ""zh-CN"", ""en"")"),"Na")</f>
        <v>Na</v>
      </c>
      <c r="G1257" s="1">
        <v>1.311E11</v>
      </c>
    </row>
    <row r="1258">
      <c r="A1258" s="1" t="s">
        <v>1142</v>
      </c>
      <c r="B1258" s="1" t="str">
        <f>IFERROR(__xludf.DUMMYFUNCTION("GOOGLETRANSLATE(A1184, ""zh-CN"", ""en"")"),"Heilongjiang Province")</f>
        <v>Heilongjiang Province</v>
      </c>
      <c r="C1258" s="1" t="s">
        <v>1143</v>
      </c>
      <c r="D1258" s="1" t="str">
        <f>IFERROR(__xludf.DUMMYFUNCTION("GOOGLETRANSLATE(C1258, ""zh-CN"", ""en"")"),"Shijiazhuang City")</f>
        <v>Shijiazhuang City</v>
      </c>
      <c r="E1258" s="1" t="s">
        <v>24</v>
      </c>
      <c r="F1258" s="1" t="str">
        <f>IFERROR(__xludf.DUMMYFUNCTION("GOOGLETRANSLATE(E1258, ""zh-CN"", ""en"")"),"City area")</f>
        <v>City area</v>
      </c>
      <c r="G1258" s="1">
        <v>1.30101E11</v>
      </c>
    </row>
    <row r="1259">
      <c r="A1259" s="1" t="s">
        <v>1142</v>
      </c>
      <c r="B1259" s="1" t="str">
        <f>IFERROR(__xludf.DUMMYFUNCTION("GOOGLETRANSLATE(A1185, ""zh-CN"", ""en"")"),"Heilongjiang Province")</f>
        <v>Heilongjiang Province</v>
      </c>
      <c r="C1259" s="1" t="s">
        <v>1143</v>
      </c>
      <c r="D1259" s="1" t="str">
        <f>IFERROR(__xludf.DUMMYFUNCTION("GOOGLETRANSLATE(C1259, ""zh-CN"", ""en"")"),"Shijiazhuang City")</f>
        <v>Shijiazhuang City</v>
      </c>
      <c r="E1259" s="1" t="s">
        <v>1154</v>
      </c>
      <c r="F1259" s="1" t="str">
        <f>IFERROR(__xludf.DUMMYFUNCTION("GOOGLETRANSLATE(E1259, ""zh-CN"", ""en"")"),"Chang'an District")</f>
        <v>Chang'an District</v>
      </c>
      <c r="G1259" s="1">
        <v>1.30102E11</v>
      </c>
    </row>
    <row r="1260">
      <c r="A1260" s="1" t="s">
        <v>1142</v>
      </c>
      <c r="B1260" s="1" t="str">
        <f>IFERROR(__xludf.DUMMYFUNCTION("GOOGLETRANSLATE(A1186, ""zh-CN"", ""en"")"),"Heilongjiang Province")</f>
        <v>Heilongjiang Province</v>
      </c>
      <c r="C1260" s="1" t="s">
        <v>1143</v>
      </c>
      <c r="D1260" s="1" t="str">
        <f>IFERROR(__xludf.DUMMYFUNCTION("GOOGLETRANSLATE(C1260, ""zh-CN"", ""en"")"),"Shijiazhuang City")</f>
        <v>Shijiazhuang City</v>
      </c>
      <c r="E1260" s="1" t="s">
        <v>1155</v>
      </c>
      <c r="F1260" s="1" t="str">
        <f>IFERROR(__xludf.DUMMYFUNCTION("GOOGLETRANSLATE(E1260, ""zh-CN"", ""en"")"),"Qiaoxi District")</f>
        <v>Qiaoxi District</v>
      </c>
      <c r="G1260" s="1">
        <v>1.30104E11</v>
      </c>
    </row>
    <row r="1261">
      <c r="A1261" s="1" t="s">
        <v>1142</v>
      </c>
      <c r="B1261" s="1" t="str">
        <f>IFERROR(__xludf.DUMMYFUNCTION("GOOGLETRANSLATE(A1187, ""zh-CN"", ""en"")"),"Heilongjiang Province")</f>
        <v>Heilongjiang Province</v>
      </c>
      <c r="C1261" s="1" t="s">
        <v>1143</v>
      </c>
      <c r="D1261" s="1" t="str">
        <f>IFERROR(__xludf.DUMMYFUNCTION("GOOGLETRANSLATE(C1261, ""zh-CN"", ""en"")"),"Shijiazhuang City")</f>
        <v>Shijiazhuang City</v>
      </c>
      <c r="E1261" s="1" t="s">
        <v>1156</v>
      </c>
      <c r="F1261" s="1" t="str">
        <f>IFERROR(__xludf.DUMMYFUNCTION("GOOGLETRANSLATE(E1261, ""zh-CN"", ""en"")"),"Xinhua District")</f>
        <v>Xinhua District</v>
      </c>
      <c r="G1261" s="1">
        <v>1.30105E11</v>
      </c>
    </row>
    <row r="1262">
      <c r="A1262" s="1" t="s">
        <v>1142</v>
      </c>
      <c r="B1262" s="1" t="str">
        <f>IFERROR(__xludf.DUMMYFUNCTION("GOOGLETRANSLATE(A1188, ""zh-CN"", ""en"")"),"Heilongjiang Province")</f>
        <v>Heilongjiang Province</v>
      </c>
      <c r="C1262" s="1" t="s">
        <v>1143</v>
      </c>
      <c r="D1262" s="1" t="str">
        <f>IFERROR(__xludf.DUMMYFUNCTION("GOOGLETRANSLATE(C1262, ""zh-CN"", ""en"")"),"Shijiazhuang City")</f>
        <v>Shijiazhuang City</v>
      </c>
      <c r="E1262" s="1" t="s">
        <v>1157</v>
      </c>
      <c r="F1262" s="1" t="str">
        <f>IFERROR(__xludf.DUMMYFUNCTION("GOOGLETRANSLATE(E1262, ""zh-CN"", ""en"")"),"Jingyu Mining Area")</f>
        <v>Jingyu Mining Area</v>
      </c>
      <c r="G1262" s="1">
        <v>1.30107E11</v>
      </c>
    </row>
    <row r="1263">
      <c r="A1263" s="1" t="s">
        <v>1142</v>
      </c>
      <c r="B1263" s="1" t="str">
        <f>IFERROR(__xludf.DUMMYFUNCTION("GOOGLETRANSLATE(A1189, ""zh-CN"", ""en"")"),"Heilongjiang Province")</f>
        <v>Heilongjiang Province</v>
      </c>
      <c r="C1263" s="1" t="s">
        <v>1143</v>
      </c>
      <c r="D1263" s="1" t="str">
        <f>IFERROR(__xludf.DUMMYFUNCTION("GOOGLETRANSLATE(C1263, ""zh-CN"", ""en"")"),"Shijiazhuang City")</f>
        <v>Shijiazhuang City</v>
      </c>
      <c r="E1263" s="1" t="s">
        <v>1158</v>
      </c>
      <c r="F1263" s="1" t="str">
        <f>IFERROR(__xludf.DUMMYFUNCTION("GOOGLETRANSLATE(E1263, ""zh-CN"", ""en"")"),"Yuhua District")</f>
        <v>Yuhua District</v>
      </c>
      <c r="G1263" s="1">
        <v>1.30108E11</v>
      </c>
    </row>
    <row r="1264">
      <c r="A1264" s="1" t="s">
        <v>1142</v>
      </c>
      <c r="B1264" s="1" t="str">
        <f>IFERROR(__xludf.DUMMYFUNCTION("GOOGLETRANSLATE(A1190, ""zh-CN"", ""en"")"),"Heilongjiang Province")</f>
        <v>Heilongjiang Province</v>
      </c>
      <c r="C1264" s="1" t="s">
        <v>1143</v>
      </c>
      <c r="D1264" s="1" t="str">
        <f>IFERROR(__xludf.DUMMYFUNCTION("GOOGLETRANSLATE(C1264, ""zh-CN"", ""en"")"),"Shijiazhuang City")</f>
        <v>Shijiazhuang City</v>
      </c>
      <c r="E1264" s="1" t="s">
        <v>1159</v>
      </c>
      <c r="F1264" s="1" t="str">
        <f>IFERROR(__xludf.DUMMYFUNCTION("GOOGLETRANSLATE(E1264, ""zh-CN"", ""en"")"),"Laocheng District")</f>
        <v>Laocheng District</v>
      </c>
      <c r="G1264" s="1">
        <v>1.30109E11</v>
      </c>
    </row>
    <row r="1265">
      <c r="A1265" s="1" t="s">
        <v>1142</v>
      </c>
      <c r="B1265" s="1" t="str">
        <f>IFERROR(__xludf.DUMMYFUNCTION("GOOGLETRANSLATE(A1191, ""zh-CN"", ""en"")"),"Heilongjiang Province")</f>
        <v>Heilongjiang Province</v>
      </c>
      <c r="C1265" s="1" t="s">
        <v>1143</v>
      </c>
      <c r="D1265" s="1" t="str">
        <f>IFERROR(__xludf.DUMMYFUNCTION("GOOGLETRANSLATE(C1265, ""zh-CN"", ""en"")"),"Shijiazhuang City")</f>
        <v>Shijiazhuang City</v>
      </c>
      <c r="E1265" s="1" t="s">
        <v>1160</v>
      </c>
      <c r="F1265" s="1" t="str">
        <f>IFERROR(__xludf.DUMMYFUNCTION("GOOGLETRANSLATE(E1265, ""zh-CN"", ""en"")"),"Luquan District")</f>
        <v>Luquan District</v>
      </c>
      <c r="G1265" s="1">
        <v>1.3011E11</v>
      </c>
    </row>
    <row r="1266">
      <c r="A1266" s="1" t="s">
        <v>1142</v>
      </c>
      <c r="B1266" s="1" t="str">
        <f>IFERROR(__xludf.DUMMYFUNCTION("GOOGLETRANSLATE(A1192, ""zh-CN"", ""en"")"),"Heilongjiang Province")</f>
        <v>Heilongjiang Province</v>
      </c>
      <c r="C1266" s="1" t="s">
        <v>1143</v>
      </c>
      <c r="D1266" s="1" t="str">
        <f>IFERROR(__xludf.DUMMYFUNCTION("GOOGLETRANSLATE(C1266, ""zh-CN"", ""en"")"),"Shijiazhuang City")</f>
        <v>Shijiazhuang City</v>
      </c>
      <c r="E1266" s="1" t="s">
        <v>1161</v>
      </c>
      <c r="F1266" s="1" t="str">
        <f>IFERROR(__xludf.DUMMYFUNCTION("GOOGLETRANSLATE(E1266, ""zh-CN"", ""en"")"),"Luancheng District")</f>
        <v>Luancheng District</v>
      </c>
      <c r="G1266" s="1">
        <v>1.30111E11</v>
      </c>
    </row>
    <row r="1267">
      <c r="A1267" s="1" t="s">
        <v>1142</v>
      </c>
      <c r="B1267" s="1" t="str">
        <f>IFERROR(__xludf.DUMMYFUNCTION("GOOGLETRANSLATE(A1193, ""zh-CN"", ""en"")"),"Heilongjiang Province")</f>
        <v>Heilongjiang Province</v>
      </c>
      <c r="C1267" s="1" t="s">
        <v>1143</v>
      </c>
      <c r="D1267" s="1" t="str">
        <f>IFERROR(__xludf.DUMMYFUNCTION("GOOGLETRANSLATE(C1267, ""zh-CN"", ""en"")"),"Shijiazhuang City")</f>
        <v>Shijiazhuang City</v>
      </c>
      <c r="E1267" s="1" t="s">
        <v>1162</v>
      </c>
      <c r="F1267" s="1" t="str">
        <f>IFERROR(__xludf.DUMMYFUNCTION("GOOGLETRANSLATE(E1267, ""zh-CN"", ""en"")"),"Jingyi County")</f>
        <v>Jingyi County</v>
      </c>
      <c r="G1267" s="1">
        <v>1.30121E11</v>
      </c>
    </row>
    <row r="1268">
      <c r="A1268" s="1" t="s">
        <v>1142</v>
      </c>
      <c r="B1268" s="1" t="str">
        <f>IFERROR(__xludf.DUMMYFUNCTION("GOOGLETRANSLATE(A1194, ""zh-CN"", ""en"")"),"Heilongjiang Province")</f>
        <v>Heilongjiang Province</v>
      </c>
      <c r="C1268" s="1" t="s">
        <v>1143</v>
      </c>
      <c r="D1268" s="1" t="str">
        <f>IFERROR(__xludf.DUMMYFUNCTION("GOOGLETRANSLATE(C1268, ""zh-CN"", ""en"")"),"Shijiazhuang City")</f>
        <v>Shijiazhuang City</v>
      </c>
      <c r="E1268" s="1" t="s">
        <v>1163</v>
      </c>
      <c r="F1268" s="1" t="str">
        <f>IFERROR(__xludf.DUMMYFUNCTION("GOOGLETRANSLATE(E1268, ""zh-CN"", ""en"")"),"Zhengding County")</f>
        <v>Zhengding County</v>
      </c>
      <c r="G1268" s="1">
        <v>1.30123E11</v>
      </c>
    </row>
    <row r="1269">
      <c r="A1269" s="1" t="s">
        <v>1142</v>
      </c>
      <c r="B1269" s="1" t="str">
        <f>IFERROR(__xludf.DUMMYFUNCTION("GOOGLETRANSLATE(A1195, ""zh-CN"", ""en"")"),"Heilongjiang Province")</f>
        <v>Heilongjiang Province</v>
      </c>
      <c r="C1269" s="1" t="s">
        <v>1143</v>
      </c>
      <c r="D1269" s="1" t="str">
        <f>IFERROR(__xludf.DUMMYFUNCTION("GOOGLETRANSLATE(C1269, ""zh-CN"", ""en"")"),"Shijiazhuang City")</f>
        <v>Shijiazhuang City</v>
      </c>
      <c r="E1269" s="1" t="s">
        <v>1164</v>
      </c>
      <c r="F1269" s="1" t="str">
        <f>IFERROR(__xludf.DUMMYFUNCTION("GOOGLETRANSLATE(E1269, ""zh-CN"", ""en"")"),"Xingtang County")</f>
        <v>Xingtang County</v>
      </c>
      <c r="G1269" s="1">
        <v>1.30125E11</v>
      </c>
    </row>
    <row r="1270">
      <c r="A1270" s="1" t="s">
        <v>1142</v>
      </c>
      <c r="B1270" s="1" t="str">
        <f>IFERROR(__xludf.DUMMYFUNCTION("GOOGLETRANSLATE(A1196, ""zh-CN"", ""en"")"),"Heilongjiang Province")</f>
        <v>Heilongjiang Province</v>
      </c>
      <c r="C1270" s="1" t="s">
        <v>1143</v>
      </c>
      <c r="D1270" s="1" t="str">
        <f>IFERROR(__xludf.DUMMYFUNCTION("GOOGLETRANSLATE(C1270, ""zh-CN"", ""en"")"),"Shijiazhuang City")</f>
        <v>Shijiazhuang City</v>
      </c>
      <c r="E1270" s="1" t="s">
        <v>1165</v>
      </c>
      <c r="F1270" s="1" t="str">
        <f>IFERROR(__xludf.DUMMYFUNCTION("GOOGLETRANSLATE(E1270, ""zh-CN"", ""en"")"),"Lingshou County")</f>
        <v>Lingshou County</v>
      </c>
      <c r="G1270" s="1">
        <v>1.30126E11</v>
      </c>
    </row>
    <row r="1271">
      <c r="A1271" s="1" t="s">
        <v>1142</v>
      </c>
      <c r="B1271" s="1" t="str">
        <f>IFERROR(__xludf.DUMMYFUNCTION("GOOGLETRANSLATE(A1197, ""zh-CN"", ""en"")"),"Heilongjiang Province")</f>
        <v>Heilongjiang Province</v>
      </c>
      <c r="C1271" s="1" t="s">
        <v>1143</v>
      </c>
      <c r="D1271" s="1" t="str">
        <f>IFERROR(__xludf.DUMMYFUNCTION("GOOGLETRANSLATE(C1271, ""zh-CN"", ""en"")"),"Shijiazhuang City")</f>
        <v>Shijiazhuang City</v>
      </c>
      <c r="E1271" s="1" t="s">
        <v>1166</v>
      </c>
      <c r="F1271" s="1" t="str">
        <f>IFERROR(__xludf.DUMMYFUNCTION("GOOGLETRANSLATE(E1271, ""zh-CN"", ""en"")"),"Gaoyi County")</f>
        <v>Gaoyi County</v>
      </c>
      <c r="G1271" s="1">
        <v>1.30127E11</v>
      </c>
    </row>
    <row r="1272">
      <c r="A1272" s="1" t="s">
        <v>1142</v>
      </c>
      <c r="B1272" s="1" t="str">
        <f>IFERROR(__xludf.DUMMYFUNCTION("GOOGLETRANSLATE(A1198, ""zh-CN"", ""en"")"),"Heilongjiang Province")</f>
        <v>Heilongjiang Province</v>
      </c>
      <c r="C1272" s="1" t="s">
        <v>1143</v>
      </c>
      <c r="D1272" s="1" t="str">
        <f>IFERROR(__xludf.DUMMYFUNCTION("GOOGLETRANSLATE(C1272, ""zh-CN"", ""en"")"),"Shijiazhuang City")</f>
        <v>Shijiazhuang City</v>
      </c>
      <c r="E1272" s="1" t="s">
        <v>1167</v>
      </c>
      <c r="F1272" s="1" t="str">
        <f>IFERROR(__xludf.DUMMYFUNCTION("GOOGLETRANSLATE(E1272, ""zh-CN"", ""en"")"),"Shenze County")</f>
        <v>Shenze County</v>
      </c>
      <c r="G1272" s="1">
        <v>1.30128E11</v>
      </c>
    </row>
    <row r="1273">
      <c r="A1273" s="1" t="s">
        <v>1142</v>
      </c>
      <c r="B1273" s="1" t="str">
        <f>IFERROR(__xludf.DUMMYFUNCTION("GOOGLETRANSLATE(A1199, ""zh-CN"", ""en"")"),"Heilongjiang Province")</f>
        <v>Heilongjiang Province</v>
      </c>
      <c r="C1273" s="1" t="s">
        <v>1143</v>
      </c>
      <c r="D1273" s="1" t="str">
        <f>IFERROR(__xludf.DUMMYFUNCTION("GOOGLETRANSLATE(C1273, ""zh-CN"", ""en"")"),"Shijiazhuang City")</f>
        <v>Shijiazhuang City</v>
      </c>
      <c r="E1273" s="1" t="s">
        <v>1168</v>
      </c>
      <c r="F1273" s="1" t="str">
        <f>IFERROR(__xludf.DUMMYFUNCTION("GOOGLETRANSLATE(E1273, ""zh-CN"", ""en"")"),"Zanhuang County")</f>
        <v>Zanhuang County</v>
      </c>
      <c r="G1273" s="1">
        <v>1.30129E11</v>
      </c>
    </row>
    <row r="1274">
      <c r="A1274" s="1" t="s">
        <v>1142</v>
      </c>
      <c r="B1274" s="1" t="str">
        <f>IFERROR(__xludf.DUMMYFUNCTION("GOOGLETRANSLATE(A1200, ""zh-CN"", ""en"")"),"Heilongjiang Province")</f>
        <v>Heilongjiang Province</v>
      </c>
      <c r="C1274" s="1" t="s">
        <v>1143</v>
      </c>
      <c r="D1274" s="1" t="str">
        <f>IFERROR(__xludf.DUMMYFUNCTION("GOOGLETRANSLATE(C1274, ""zh-CN"", ""en"")"),"Shijiazhuang City")</f>
        <v>Shijiazhuang City</v>
      </c>
      <c r="E1274" s="1" t="s">
        <v>1169</v>
      </c>
      <c r="F1274" s="1" t="str">
        <f>IFERROR(__xludf.DUMMYFUNCTION("GOOGLETRANSLATE(E1274, ""zh-CN"", ""en"")"),"Wuji County")</f>
        <v>Wuji County</v>
      </c>
      <c r="G1274" s="1">
        <v>1.3013E11</v>
      </c>
    </row>
    <row r="1275">
      <c r="A1275" s="1" t="s">
        <v>1142</v>
      </c>
      <c r="B1275" s="1" t="str">
        <f>IFERROR(__xludf.DUMMYFUNCTION("GOOGLETRANSLATE(A1201, ""zh-CN"", ""en"")"),"Heilongjiang Province")</f>
        <v>Heilongjiang Province</v>
      </c>
      <c r="C1275" s="1" t="s">
        <v>1143</v>
      </c>
      <c r="D1275" s="1" t="str">
        <f>IFERROR(__xludf.DUMMYFUNCTION("GOOGLETRANSLATE(C1275, ""zh-CN"", ""en"")"),"Shijiazhuang City")</f>
        <v>Shijiazhuang City</v>
      </c>
      <c r="E1275" s="1" t="s">
        <v>1170</v>
      </c>
      <c r="F1275" s="1" t="str">
        <f>IFERROR(__xludf.DUMMYFUNCTION("GOOGLETRANSLATE(E1275, ""zh-CN"", ""en"")"),"Pingshan County")</f>
        <v>Pingshan County</v>
      </c>
      <c r="G1275" s="1">
        <v>1.30131E11</v>
      </c>
    </row>
    <row r="1276">
      <c r="A1276" s="1" t="s">
        <v>1142</v>
      </c>
      <c r="B1276" s="1" t="str">
        <f>IFERROR(__xludf.DUMMYFUNCTION("GOOGLETRANSLATE(A1202, ""zh-CN"", ""en"")"),"Heilongjiang Province")</f>
        <v>Heilongjiang Province</v>
      </c>
      <c r="C1276" s="1" t="s">
        <v>1143</v>
      </c>
      <c r="D1276" s="1" t="str">
        <f>IFERROR(__xludf.DUMMYFUNCTION("GOOGLETRANSLATE(C1276, ""zh-CN"", ""en"")"),"Shijiazhuang City")</f>
        <v>Shijiazhuang City</v>
      </c>
      <c r="E1276" s="1" t="s">
        <v>1171</v>
      </c>
      <c r="F1276" s="1" t="str">
        <f>IFERROR(__xludf.DUMMYFUNCTION("GOOGLETRANSLATE(E1276, ""zh-CN"", ""en"")"),"Yuanshi County")</f>
        <v>Yuanshi County</v>
      </c>
      <c r="G1276" s="1">
        <v>1.30132E11</v>
      </c>
    </row>
    <row r="1277">
      <c r="A1277" s="1" t="s">
        <v>1142</v>
      </c>
      <c r="B1277" s="1" t="str">
        <f>IFERROR(__xludf.DUMMYFUNCTION("GOOGLETRANSLATE(A1203, ""zh-CN"", ""en"")"),"Heilongjiang Province")</f>
        <v>Heilongjiang Province</v>
      </c>
      <c r="C1277" s="1" t="s">
        <v>1143</v>
      </c>
      <c r="D1277" s="1" t="str">
        <f>IFERROR(__xludf.DUMMYFUNCTION("GOOGLETRANSLATE(C1277, ""zh-CN"", ""en"")"),"Shijiazhuang City")</f>
        <v>Shijiazhuang City</v>
      </c>
      <c r="E1277" s="1" t="s">
        <v>1172</v>
      </c>
      <c r="F1277" s="1" t="str">
        <f>IFERROR(__xludf.DUMMYFUNCTION("GOOGLETRANSLATE(E1277, ""zh-CN"", ""en"")"),"Zhao County")</f>
        <v>Zhao County</v>
      </c>
      <c r="G1277" s="1">
        <v>1.30133E11</v>
      </c>
    </row>
    <row r="1278">
      <c r="A1278" s="1" t="s">
        <v>1142</v>
      </c>
      <c r="B1278" s="1" t="str">
        <f>IFERROR(__xludf.DUMMYFUNCTION("GOOGLETRANSLATE(A1204, ""zh-CN"", ""en"")"),"Heilongjiang Province")</f>
        <v>Heilongjiang Province</v>
      </c>
      <c r="C1278" s="1" t="s">
        <v>1143</v>
      </c>
      <c r="D1278" s="1" t="str">
        <f>IFERROR(__xludf.DUMMYFUNCTION("GOOGLETRANSLATE(C1278, ""zh-CN"", ""en"")"),"Shijiazhuang City")</f>
        <v>Shijiazhuang City</v>
      </c>
      <c r="E1278" s="1" t="s">
        <v>1173</v>
      </c>
      <c r="F1278" s="1" t="str">
        <f>IFERROR(__xludf.DUMMYFUNCTION("GOOGLETRANSLATE(E1278, ""zh-CN"", ""en"")"),"Shijiazhuang High -tech Industrial Development Zone")</f>
        <v>Shijiazhuang High -tech Industrial Development Zone</v>
      </c>
      <c r="G1278" s="1">
        <v>1.30171E11</v>
      </c>
    </row>
    <row r="1279">
      <c r="A1279" s="1" t="s">
        <v>1142</v>
      </c>
      <c r="B1279" s="1" t="str">
        <f>IFERROR(__xludf.DUMMYFUNCTION("GOOGLETRANSLATE(A1205, ""zh-CN"", ""en"")"),"Heilongjiang Province")</f>
        <v>Heilongjiang Province</v>
      </c>
      <c r="C1279" s="1" t="s">
        <v>1143</v>
      </c>
      <c r="D1279" s="1" t="str">
        <f>IFERROR(__xludf.DUMMYFUNCTION("GOOGLETRANSLATE(C1279, ""zh-CN"", ""en"")"),"Shijiazhuang City")</f>
        <v>Shijiazhuang City</v>
      </c>
      <c r="E1279" s="1" t="s">
        <v>1174</v>
      </c>
      <c r="F1279" s="1" t="str">
        <f>IFERROR(__xludf.DUMMYFUNCTION("GOOGLETRANSLATE(E1279, ""zh-CN"", ""en"")"),"Shijiazhuang Circular Chemical Park")</f>
        <v>Shijiazhuang Circular Chemical Park</v>
      </c>
      <c r="G1279" s="1">
        <v>1.30172E11</v>
      </c>
    </row>
    <row r="1280">
      <c r="A1280" s="1" t="s">
        <v>1142</v>
      </c>
      <c r="B1280" s="1" t="str">
        <f>IFERROR(__xludf.DUMMYFUNCTION("GOOGLETRANSLATE(A1206, ""zh-CN"", ""en"")"),"Heilongjiang Province")</f>
        <v>Heilongjiang Province</v>
      </c>
      <c r="C1280" s="1" t="s">
        <v>1143</v>
      </c>
      <c r="D1280" s="1" t="str">
        <f>IFERROR(__xludf.DUMMYFUNCTION("GOOGLETRANSLATE(C1280, ""zh-CN"", ""en"")"),"Shijiazhuang City")</f>
        <v>Shijiazhuang City</v>
      </c>
      <c r="E1280" s="1" t="s">
        <v>1175</v>
      </c>
      <c r="F1280" s="1" t="str">
        <f>IFERROR(__xludf.DUMMYFUNCTION("GOOGLETRANSLATE(E1280, ""zh-CN"", ""en"")"),"Xinji Market")</f>
        <v>Xinji Market</v>
      </c>
      <c r="G1280" s="1">
        <v>1.30181E11</v>
      </c>
    </row>
    <row r="1281">
      <c r="A1281" s="1" t="s">
        <v>1142</v>
      </c>
      <c r="B1281" s="1" t="str">
        <f>IFERROR(__xludf.DUMMYFUNCTION("GOOGLETRANSLATE(A1207, ""zh-CN"", ""en"")"),"Heilongjiang Province")</f>
        <v>Heilongjiang Province</v>
      </c>
      <c r="C1281" s="1" t="s">
        <v>1143</v>
      </c>
      <c r="D1281" s="1" t="str">
        <f>IFERROR(__xludf.DUMMYFUNCTION("GOOGLETRANSLATE(C1281, ""zh-CN"", ""en"")"),"Shijiazhuang City")</f>
        <v>Shijiazhuang City</v>
      </c>
      <c r="E1281" s="1" t="s">
        <v>1176</v>
      </c>
      <c r="F1281" s="1" t="str">
        <f>IFERROR(__xludf.DUMMYFUNCTION("GOOGLETRANSLATE(E1281, ""zh-CN"", ""en"")"),"Jinzhou")</f>
        <v>Jinzhou</v>
      </c>
      <c r="G1281" s="1">
        <v>1.30183E11</v>
      </c>
    </row>
    <row r="1282">
      <c r="A1282" s="1" t="s">
        <v>1142</v>
      </c>
      <c r="B1282" s="1" t="str">
        <f>IFERROR(__xludf.DUMMYFUNCTION("GOOGLETRANSLATE(A1208, ""zh-CN"", ""en"")"),"Heilongjiang Province")</f>
        <v>Heilongjiang Province</v>
      </c>
      <c r="C1282" s="1" t="s">
        <v>1143</v>
      </c>
      <c r="D1282" s="1" t="str">
        <f>IFERROR(__xludf.DUMMYFUNCTION("GOOGLETRANSLATE(C1282, ""zh-CN"", ""en"")"),"Shijiazhuang City")</f>
        <v>Shijiazhuang City</v>
      </c>
      <c r="E1282" s="1" t="s">
        <v>1177</v>
      </c>
      <c r="F1282" s="1" t="str">
        <f>IFERROR(__xludf.DUMMYFUNCTION("GOOGLETRANSLATE(E1282, ""zh-CN"", ""en"")"),"Xinle City")</f>
        <v>Xinle City</v>
      </c>
      <c r="G1282" s="1">
        <v>1.30184E11</v>
      </c>
    </row>
    <row r="1283">
      <c r="A1283" s="1" t="s">
        <v>1142</v>
      </c>
      <c r="B1283" s="1" t="str">
        <f>IFERROR(__xludf.DUMMYFUNCTION("GOOGLETRANSLATE(A1209, ""zh-CN"", ""en"")"),"Heilongjiang Province")</f>
        <v>Heilongjiang Province</v>
      </c>
      <c r="C1283" s="1" t="s">
        <v>1144</v>
      </c>
      <c r="D1283" s="1" t="str">
        <f>IFERROR(__xludf.DUMMYFUNCTION("GOOGLETRANSLATE(C1283, ""zh-CN"", ""en"")"),"Tangshan City")</f>
        <v>Tangshan City</v>
      </c>
      <c r="E1283" s="1" t="s">
        <v>24</v>
      </c>
      <c r="F1283" s="1" t="str">
        <f>IFERROR(__xludf.DUMMYFUNCTION("GOOGLETRANSLATE(E1283, ""zh-CN"", ""en"")"),"City area")</f>
        <v>City area</v>
      </c>
      <c r="G1283" s="1">
        <v>1.30201E11</v>
      </c>
    </row>
    <row r="1284">
      <c r="A1284" s="1" t="s">
        <v>1142</v>
      </c>
      <c r="B1284" s="1" t="str">
        <f>IFERROR(__xludf.DUMMYFUNCTION("GOOGLETRANSLATE(A1210, ""zh-CN"", ""en"")"),"Heilongjiang Province")</f>
        <v>Heilongjiang Province</v>
      </c>
      <c r="C1284" s="1" t="s">
        <v>1144</v>
      </c>
      <c r="D1284" s="1" t="str">
        <f>IFERROR(__xludf.DUMMYFUNCTION("GOOGLETRANSLATE(C1284, ""zh-CN"", ""en"")"),"Tangshan City")</f>
        <v>Tangshan City</v>
      </c>
      <c r="E1284" s="1" t="s">
        <v>1178</v>
      </c>
      <c r="F1284" s="1" t="str">
        <f>IFERROR(__xludf.DUMMYFUNCTION("GOOGLETRANSLATE(E1284, ""zh-CN"", ""en"")"),"Lunan District")</f>
        <v>Lunan District</v>
      </c>
      <c r="G1284" s="1">
        <v>1.30202E11</v>
      </c>
    </row>
    <row r="1285">
      <c r="A1285" s="1" t="s">
        <v>1142</v>
      </c>
      <c r="B1285" s="1" t="str">
        <f>IFERROR(__xludf.DUMMYFUNCTION("GOOGLETRANSLATE(A1211, ""zh-CN"", ""en"")"),"Heilongjiang Province")</f>
        <v>Heilongjiang Province</v>
      </c>
      <c r="C1285" s="1" t="s">
        <v>1144</v>
      </c>
      <c r="D1285" s="1" t="str">
        <f>IFERROR(__xludf.DUMMYFUNCTION("GOOGLETRANSLATE(C1285, ""zh-CN"", ""en"")"),"Tangshan City")</f>
        <v>Tangshan City</v>
      </c>
      <c r="E1285" s="1" t="s">
        <v>1179</v>
      </c>
      <c r="F1285" s="1" t="str">
        <f>IFERROR(__xludf.DUMMYFUNCTION("GOOGLETRANSLATE(E1285, ""zh-CN"", ""en"")"),"Lubei District")</f>
        <v>Lubei District</v>
      </c>
      <c r="G1285" s="1">
        <v>1.30203E11</v>
      </c>
    </row>
    <row r="1286">
      <c r="A1286" s="1" t="s">
        <v>1142</v>
      </c>
      <c r="B1286" s="1" t="str">
        <f>IFERROR(__xludf.DUMMYFUNCTION("GOOGLETRANSLATE(A1212, ""zh-CN"", ""en"")"),"Heilongjiang Province")</f>
        <v>Heilongjiang Province</v>
      </c>
      <c r="C1286" s="1" t="s">
        <v>1144</v>
      </c>
      <c r="D1286" s="1" t="str">
        <f>IFERROR(__xludf.DUMMYFUNCTION("GOOGLETRANSLATE(C1286, ""zh-CN"", ""en"")"),"Tangshan City")</f>
        <v>Tangshan City</v>
      </c>
      <c r="E1286" s="1" t="s">
        <v>1180</v>
      </c>
      <c r="F1286" s="1" t="str">
        <f>IFERROR(__xludf.DUMMYFUNCTION("GOOGLETRANSLATE(E1286, ""zh-CN"", ""en"")"),"Guye District")</f>
        <v>Guye District</v>
      </c>
      <c r="G1286" s="1">
        <v>1.30204E11</v>
      </c>
    </row>
    <row r="1287">
      <c r="A1287" s="1" t="s">
        <v>1142</v>
      </c>
      <c r="B1287" s="1" t="str">
        <f>IFERROR(__xludf.DUMMYFUNCTION("GOOGLETRANSLATE(A1213, ""zh-CN"", ""en"")"),"Heilongjiang Province")</f>
        <v>Heilongjiang Province</v>
      </c>
      <c r="C1287" s="1" t="s">
        <v>1144</v>
      </c>
      <c r="D1287" s="1" t="str">
        <f>IFERROR(__xludf.DUMMYFUNCTION("GOOGLETRANSLATE(C1287, ""zh-CN"", ""en"")"),"Tangshan City")</f>
        <v>Tangshan City</v>
      </c>
      <c r="E1287" s="1" t="s">
        <v>1181</v>
      </c>
      <c r="F1287" s="1" t="str">
        <f>IFERROR(__xludf.DUMMYFUNCTION("GOOGLETRANSLATE(E1287, ""zh-CN"", ""en"")"),"Kaiping District")</f>
        <v>Kaiping District</v>
      </c>
      <c r="G1287" s="1">
        <v>1.30205E11</v>
      </c>
    </row>
    <row r="1288">
      <c r="A1288" s="1" t="s">
        <v>1142</v>
      </c>
      <c r="B1288" s="1" t="str">
        <f>IFERROR(__xludf.DUMMYFUNCTION("GOOGLETRANSLATE(A1214, ""zh-CN"", ""en"")"),"Heilongjiang Province")</f>
        <v>Heilongjiang Province</v>
      </c>
      <c r="C1288" s="1" t="s">
        <v>1144</v>
      </c>
      <c r="D1288" s="1" t="str">
        <f>IFERROR(__xludf.DUMMYFUNCTION("GOOGLETRANSLATE(C1288, ""zh-CN"", ""en"")"),"Tangshan City")</f>
        <v>Tangshan City</v>
      </c>
      <c r="E1288" s="1" t="s">
        <v>1182</v>
      </c>
      <c r="F1288" s="1" t="str">
        <f>IFERROR(__xludf.DUMMYFUNCTION("GOOGLETRANSLATE(E1288, ""zh-CN"", ""en"")"),"Fengnan District")</f>
        <v>Fengnan District</v>
      </c>
      <c r="G1288" s="1">
        <v>1.30207E11</v>
      </c>
    </row>
    <row r="1289">
      <c r="A1289" s="1" t="s">
        <v>1142</v>
      </c>
      <c r="B1289" s="1" t="str">
        <f>IFERROR(__xludf.DUMMYFUNCTION("GOOGLETRANSLATE(A1215, ""zh-CN"", ""en"")"),"Heilongjiang Province")</f>
        <v>Heilongjiang Province</v>
      </c>
      <c r="C1289" s="1" t="s">
        <v>1144</v>
      </c>
      <c r="D1289" s="1" t="str">
        <f>IFERROR(__xludf.DUMMYFUNCTION("GOOGLETRANSLATE(C1289, ""zh-CN"", ""en"")"),"Tangshan City")</f>
        <v>Tangshan City</v>
      </c>
      <c r="E1289" s="1" t="s">
        <v>1183</v>
      </c>
      <c r="F1289" s="1" t="str">
        <f>IFERROR(__xludf.DUMMYFUNCTION("GOOGLETRANSLATE(E1289, ""zh-CN"", ""en"")"),"Fengrun District")</f>
        <v>Fengrun District</v>
      </c>
      <c r="G1289" s="1">
        <v>1.30208E11</v>
      </c>
    </row>
    <row r="1290">
      <c r="A1290" s="1" t="s">
        <v>1142</v>
      </c>
      <c r="B1290" s="1" t="str">
        <f>IFERROR(__xludf.DUMMYFUNCTION("GOOGLETRANSLATE(A1216, ""zh-CN"", ""en"")"),"Heilongjiang Province")</f>
        <v>Heilongjiang Province</v>
      </c>
      <c r="C1290" s="1" t="s">
        <v>1144</v>
      </c>
      <c r="D1290" s="1" t="str">
        <f>IFERROR(__xludf.DUMMYFUNCTION("GOOGLETRANSLATE(C1290, ""zh-CN"", ""en"")"),"Tangshan City")</f>
        <v>Tangshan City</v>
      </c>
      <c r="E1290" s="1" t="s">
        <v>1184</v>
      </c>
      <c r="F1290" s="1" t="str">
        <f>IFERROR(__xludf.DUMMYFUNCTION("GOOGLETRANSLATE(E1290, ""zh-CN"", ""en"")"),"Caofeidian District")</f>
        <v>Caofeidian District</v>
      </c>
      <c r="G1290" s="1">
        <v>1.30209E11</v>
      </c>
    </row>
    <row r="1291">
      <c r="A1291" s="1" t="s">
        <v>1142</v>
      </c>
      <c r="B1291" s="1" t="str">
        <f>IFERROR(__xludf.DUMMYFUNCTION("GOOGLETRANSLATE(A1217, ""zh-CN"", ""en"")"),"Heilongjiang Province")</f>
        <v>Heilongjiang Province</v>
      </c>
      <c r="C1291" s="1" t="s">
        <v>1144</v>
      </c>
      <c r="D1291" s="1" t="str">
        <f>IFERROR(__xludf.DUMMYFUNCTION("GOOGLETRANSLATE(C1291, ""zh-CN"", ""en"")"),"Tangshan City")</f>
        <v>Tangshan City</v>
      </c>
      <c r="E1291" s="1" t="s">
        <v>1185</v>
      </c>
      <c r="F1291" s="1" t="str">
        <f>IFERROR(__xludf.DUMMYFUNCTION("GOOGLETRANSLATE(E1291, ""zh-CN"", ""en"")"),"Dannan County")</f>
        <v>Dannan County</v>
      </c>
      <c r="G1291" s="1">
        <v>1.30224E11</v>
      </c>
    </row>
    <row r="1292">
      <c r="A1292" s="1" t="s">
        <v>1142</v>
      </c>
      <c r="B1292" s="1" t="str">
        <f>IFERROR(__xludf.DUMMYFUNCTION("GOOGLETRANSLATE(A1218, ""zh-CN"", ""en"")"),"Heilongjiang Province")</f>
        <v>Heilongjiang Province</v>
      </c>
      <c r="C1292" s="1" t="s">
        <v>1144</v>
      </c>
      <c r="D1292" s="1" t="str">
        <f>IFERROR(__xludf.DUMMYFUNCTION("GOOGLETRANSLATE(C1292, ""zh-CN"", ""en"")"),"Tangshan City")</f>
        <v>Tangshan City</v>
      </c>
      <c r="E1292" s="1" t="s">
        <v>1186</v>
      </c>
      <c r="F1292" s="1" t="str">
        <f>IFERROR(__xludf.DUMMYFUNCTION("GOOGLETRANSLATE(E1292, ""zh-CN"", ""en"")"),"Ledting County")</f>
        <v>Ledting County</v>
      </c>
      <c r="G1292" s="1">
        <v>1.30225E11</v>
      </c>
    </row>
    <row r="1293">
      <c r="A1293" s="1" t="s">
        <v>1142</v>
      </c>
      <c r="B1293" s="1" t="str">
        <f>IFERROR(__xludf.DUMMYFUNCTION("GOOGLETRANSLATE(A1219, ""zh-CN"", ""en"")"),"Heilongjiang Province")</f>
        <v>Heilongjiang Province</v>
      </c>
      <c r="C1293" s="1" t="s">
        <v>1144</v>
      </c>
      <c r="D1293" s="1" t="str">
        <f>IFERROR(__xludf.DUMMYFUNCTION("GOOGLETRANSLATE(C1293, ""zh-CN"", ""en"")"),"Tangshan City")</f>
        <v>Tangshan City</v>
      </c>
      <c r="E1293" s="1" t="s">
        <v>1187</v>
      </c>
      <c r="F1293" s="1" t="str">
        <f>IFERROR(__xludf.DUMMYFUNCTION("GOOGLETRANSLATE(E1293, ""zh-CN"", ""en"")"),"Qianxi County")</f>
        <v>Qianxi County</v>
      </c>
      <c r="G1293" s="1">
        <v>1.30227E11</v>
      </c>
    </row>
    <row r="1294">
      <c r="A1294" s="1" t="s">
        <v>1142</v>
      </c>
      <c r="B1294" s="1" t="str">
        <f>IFERROR(__xludf.DUMMYFUNCTION("GOOGLETRANSLATE(A1220, ""zh-CN"", ""en"")"),"Heilongjiang Province")</f>
        <v>Heilongjiang Province</v>
      </c>
      <c r="C1294" s="1" t="s">
        <v>1144</v>
      </c>
      <c r="D1294" s="1" t="str">
        <f>IFERROR(__xludf.DUMMYFUNCTION("GOOGLETRANSLATE(C1294, ""zh-CN"", ""en"")"),"Tangshan City")</f>
        <v>Tangshan City</v>
      </c>
      <c r="E1294" s="1" t="s">
        <v>1188</v>
      </c>
      <c r="F1294" s="1" t="str">
        <f>IFERROR(__xludf.DUMMYFUNCTION("GOOGLETRANSLATE(E1294, ""zh-CN"", ""en"")"),"Yutian County")</f>
        <v>Yutian County</v>
      </c>
      <c r="G1294" s="1">
        <v>1.30229E11</v>
      </c>
    </row>
    <row r="1295">
      <c r="A1295" s="1" t="s">
        <v>1142</v>
      </c>
      <c r="B1295" s="1" t="str">
        <f>IFERROR(__xludf.DUMMYFUNCTION("GOOGLETRANSLATE(A1221, ""zh-CN"", ""en"")"),"Heilongjiang Province")</f>
        <v>Heilongjiang Province</v>
      </c>
      <c r="C1295" s="1" t="s">
        <v>1144</v>
      </c>
      <c r="D1295" s="1" t="str">
        <f>IFERROR(__xludf.DUMMYFUNCTION("GOOGLETRANSLATE(C1295, ""zh-CN"", ""en"")"),"Tangshan City")</f>
        <v>Tangshan City</v>
      </c>
      <c r="E1295" s="1" t="s">
        <v>1189</v>
      </c>
      <c r="F1295" s="1" t="str">
        <f>IFERROR(__xludf.DUMMYFUNCTION("GOOGLETRANSLATE(E1295, ""zh-CN"", ""en"")"),"Lutai Economic Development Zone, Tangshan, Hebei")</f>
        <v>Lutai Economic Development Zone, Tangshan, Hebei</v>
      </c>
      <c r="G1295" s="1">
        <v>1.30271E11</v>
      </c>
    </row>
    <row r="1296">
      <c r="A1296" s="1" t="s">
        <v>1142</v>
      </c>
      <c r="B1296" s="1" t="str">
        <f>IFERROR(__xludf.DUMMYFUNCTION("GOOGLETRANSLATE(A1222, ""zh-CN"", ""en"")"),"Heilongjiang Province")</f>
        <v>Heilongjiang Province</v>
      </c>
      <c r="C1296" s="1" t="s">
        <v>1144</v>
      </c>
      <c r="D1296" s="1" t="str">
        <f>IFERROR(__xludf.DUMMYFUNCTION("GOOGLETRANSLATE(C1296, ""zh-CN"", ""en"")"),"Tangshan City")</f>
        <v>Tangshan City</v>
      </c>
      <c r="E1296" s="1" t="s">
        <v>1190</v>
      </c>
      <c r="F1296" s="1" t="str">
        <f>IFERROR(__xludf.DUMMYFUNCTION("GOOGLETRANSLATE(E1296, ""zh-CN"", ""en"")"),"Hangu Management Zone, Tangshan City")</f>
        <v>Hangu Management Zone, Tangshan City</v>
      </c>
      <c r="G1296" s="1">
        <v>1.30272E11</v>
      </c>
    </row>
    <row r="1297">
      <c r="A1297" s="1" t="s">
        <v>1142</v>
      </c>
      <c r="B1297" s="1" t="str">
        <f>IFERROR(__xludf.DUMMYFUNCTION("GOOGLETRANSLATE(A1223, ""zh-CN"", ""en"")"),"Heilongjiang Province")</f>
        <v>Heilongjiang Province</v>
      </c>
      <c r="C1297" s="1" t="s">
        <v>1144</v>
      </c>
      <c r="D1297" s="1" t="str">
        <f>IFERROR(__xludf.DUMMYFUNCTION("GOOGLETRANSLATE(C1297, ""zh-CN"", ""en"")"),"Tangshan City")</f>
        <v>Tangshan City</v>
      </c>
      <c r="E1297" s="1" t="s">
        <v>1191</v>
      </c>
      <c r="F1297" s="1" t="str">
        <f>IFERROR(__xludf.DUMMYFUNCTION("GOOGLETRANSLATE(E1297, ""zh-CN"", ""en"")"),"Tangshan High -tech Industrial Development Zone")</f>
        <v>Tangshan High -tech Industrial Development Zone</v>
      </c>
      <c r="G1297" s="1">
        <v>1.30273E11</v>
      </c>
    </row>
    <row r="1298">
      <c r="A1298" s="1" t="s">
        <v>1142</v>
      </c>
      <c r="B1298" s="1" t="str">
        <f>IFERROR(__xludf.DUMMYFUNCTION("GOOGLETRANSLATE(A1224, ""zh-CN"", ""en"")"),"Heilongjiang Province")</f>
        <v>Heilongjiang Province</v>
      </c>
      <c r="C1298" s="1" t="s">
        <v>1144</v>
      </c>
      <c r="D1298" s="1" t="str">
        <f>IFERROR(__xludf.DUMMYFUNCTION("GOOGLETRANSLATE(C1298, ""zh-CN"", ""en"")"),"Tangshan City")</f>
        <v>Tangshan City</v>
      </c>
      <c r="E1298" s="1" t="s">
        <v>1192</v>
      </c>
      <c r="F1298" s="1" t="str">
        <f>IFERROR(__xludf.DUMMYFUNCTION("GOOGLETRANSLATE(E1298, ""zh-CN"", ""en"")"),"Hebei Tangshan Harbor Economic Development Zone")</f>
        <v>Hebei Tangshan Harbor Economic Development Zone</v>
      </c>
      <c r="G1298" s="1">
        <v>1.30274E11</v>
      </c>
    </row>
    <row r="1299">
      <c r="A1299" s="1" t="s">
        <v>1142</v>
      </c>
      <c r="B1299" s="1" t="str">
        <f>IFERROR(__xludf.DUMMYFUNCTION("GOOGLETRANSLATE(A1225, ""zh-CN"", ""en"")"),"Heilongjiang Province")</f>
        <v>Heilongjiang Province</v>
      </c>
      <c r="C1299" s="1" t="s">
        <v>1144</v>
      </c>
      <c r="D1299" s="1" t="str">
        <f>IFERROR(__xludf.DUMMYFUNCTION("GOOGLETRANSLATE(C1299, ""zh-CN"", ""en"")"),"Tangshan City")</f>
        <v>Tangshan City</v>
      </c>
      <c r="E1299" s="1" t="s">
        <v>1193</v>
      </c>
      <c r="F1299" s="1" t="str">
        <f>IFERROR(__xludf.DUMMYFUNCTION("GOOGLETRANSLATE(E1299, ""zh-CN"", ""en"")"),"Zunhua City")</f>
        <v>Zunhua City</v>
      </c>
      <c r="G1299" s="1">
        <v>1.30281E11</v>
      </c>
    </row>
    <row r="1300">
      <c r="A1300" s="1" t="s">
        <v>1142</v>
      </c>
      <c r="B1300" s="1" t="str">
        <f>IFERROR(__xludf.DUMMYFUNCTION("GOOGLETRANSLATE(A1226, ""zh-CN"", ""en"")"),"Heilongjiang Province")</f>
        <v>Heilongjiang Province</v>
      </c>
      <c r="C1300" s="1" t="s">
        <v>1144</v>
      </c>
      <c r="D1300" s="1" t="str">
        <f>IFERROR(__xludf.DUMMYFUNCTION("GOOGLETRANSLATE(C1300, ""zh-CN"", ""en"")"),"Tangshan City")</f>
        <v>Tangshan City</v>
      </c>
      <c r="E1300" s="1" t="s">
        <v>1194</v>
      </c>
      <c r="F1300" s="1" t="str">
        <f>IFERROR(__xludf.DUMMYFUNCTION("GOOGLETRANSLATE(E1300, ""zh-CN"", ""en"")"),"Qian'an City")</f>
        <v>Qian'an City</v>
      </c>
      <c r="G1300" s="1">
        <v>1.30283E11</v>
      </c>
    </row>
    <row r="1301">
      <c r="A1301" s="1" t="s">
        <v>1142</v>
      </c>
      <c r="B1301" s="1" t="str">
        <f>IFERROR(__xludf.DUMMYFUNCTION("GOOGLETRANSLATE(A1227, ""zh-CN"", ""en"")"),"Heilongjiang Province")</f>
        <v>Heilongjiang Province</v>
      </c>
      <c r="C1301" s="1" t="s">
        <v>1144</v>
      </c>
      <c r="D1301" s="1" t="str">
        <f>IFERROR(__xludf.DUMMYFUNCTION("GOOGLETRANSLATE(C1301, ""zh-CN"", ""en"")"),"Tangshan City")</f>
        <v>Tangshan City</v>
      </c>
      <c r="E1301" s="1" t="s">
        <v>1195</v>
      </c>
      <c r="F1301" s="1" t="str">
        <f>IFERROR(__xludf.DUMMYFUNCTION("GOOGLETRANSLATE(E1301, ""zh-CN"", ""en"")"),"Dazhou City")</f>
        <v>Dazhou City</v>
      </c>
      <c r="G1301" s="1">
        <v>1.30284E11</v>
      </c>
    </row>
    <row r="1302">
      <c r="A1302" s="1" t="s">
        <v>1142</v>
      </c>
      <c r="B1302" s="1" t="str">
        <f>IFERROR(__xludf.DUMMYFUNCTION("GOOGLETRANSLATE(A1228, ""zh-CN"", ""en"")"),"Heilongjiang Province")</f>
        <v>Heilongjiang Province</v>
      </c>
      <c r="C1302" s="1" t="s">
        <v>1145</v>
      </c>
      <c r="D1302" s="1" t="str">
        <f>IFERROR(__xludf.DUMMYFUNCTION("GOOGLETRANSLATE(C1302, ""zh-CN"", ""en"")"),"Qinhuangdao City")</f>
        <v>Qinhuangdao City</v>
      </c>
      <c r="E1302" s="1" t="s">
        <v>24</v>
      </c>
      <c r="F1302" s="1" t="str">
        <f>IFERROR(__xludf.DUMMYFUNCTION("GOOGLETRANSLATE(E1302, ""zh-CN"", ""en"")"),"City area")</f>
        <v>City area</v>
      </c>
      <c r="G1302" s="1">
        <v>1.30301E11</v>
      </c>
    </row>
    <row r="1303">
      <c r="A1303" s="1" t="s">
        <v>1142</v>
      </c>
      <c r="B1303" s="1" t="str">
        <f>IFERROR(__xludf.DUMMYFUNCTION("GOOGLETRANSLATE(A1229, ""zh-CN"", ""en"")"),"Heilongjiang Province")</f>
        <v>Heilongjiang Province</v>
      </c>
      <c r="C1303" s="1" t="s">
        <v>1145</v>
      </c>
      <c r="D1303" s="1" t="str">
        <f>IFERROR(__xludf.DUMMYFUNCTION("GOOGLETRANSLATE(C1303, ""zh-CN"", ""en"")"),"Qinhuangdao City")</f>
        <v>Qinhuangdao City</v>
      </c>
      <c r="E1303" s="1" t="s">
        <v>1196</v>
      </c>
      <c r="F1303" s="1" t="str">
        <f>IFERROR(__xludf.DUMMYFUNCTION("GOOGLETRANSLATE(E1303, ""zh-CN"", ""en"")"),"Haigang District")</f>
        <v>Haigang District</v>
      </c>
      <c r="G1303" s="1">
        <v>1.30302E11</v>
      </c>
    </row>
    <row r="1304">
      <c r="A1304" s="1" t="s">
        <v>1142</v>
      </c>
      <c r="B1304" s="1" t="str">
        <f>IFERROR(__xludf.DUMMYFUNCTION("GOOGLETRANSLATE(A1230, ""zh-CN"", ""en"")"),"Heilongjiang Province")</f>
        <v>Heilongjiang Province</v>
      </c>
      <c r="C1304" s="1" t="s">
        <v>1145</v>
      </c>
      <c r="D1304" s="1" t="str">
        <f>IFERROR(__xludf.DUMMYFUNCTION("GOOGLETRANSLATE(C1304, ""zh-CN"", ""en"")"),"Qinhuangdao City")</f>
        <v>Qinhuangdao City</v>
      </c>
      <c r="E1304" s="1" t="s">
        <v>1197</v>
      </c>
      <c r="F1304" s="1" t="str">
        <f>IFERROR(__xludf.DUMMYFUNCTION("GOOGLETRANSLATE(E1304, ""zh-CN"", ""en"")"),"Shanhaiguan District")</f>
        <v>Shanhaiguan District</v>
      </c>
      <c r="G1304" s="1">
        <v>1.30303E11</v>
      </c>
    </row>
    <row r="1305">
      <c r="A1305" s="1" t="s">
        <v>1142</v>
      </c>
      <c r="B1305" s="1" t="str">
        <f>IFERROR(__xludf.DUMMYFUNCTION("GOOGLETRANSLATE(A1231, ""zh-CN"", ""en"")"),"Heilongjiang Province")</f>
        <v>Heilongjiang Province</v>
      </c>
      <c r="C1305" s="1" t="s">
        <v>1145</v>
      </c>
      <c r="D1305" s="1" t="str">
        <f>IFERROR(__xludf.DUMMYFUNCTION("GOOGLETRANSLATE(C1305, ""zh-CN"", ""en"")"),"Qinhuangdao City")</f>
        <v>Qinhuangdao City</v>
      </c>
      <c r="E1305" s="1" t="s">
        <v>1198</v>
      </c>
      <c r="F1305" s="1" t="str">
        <f>IFERROR(__xludf.DUMMYFUNCTION("GOOGLETRANSLATE(E1305, ""zh-CN"", ""en"")"),"Beidaihe District")</f>
        <v>Beidaihe District</v>
      </c>
      <c r="G1305" s="1">
        <v>1.30304E11</v>
      </c>
    </row>
    <row r="1306">
      <c r="A1306" s="1" t="s">
        <v>1142</v>
      </c>
      <c r="B1306" s="1" t="str">
        <f>IFERROR(__xludf.DUMMYFUNCTION("GOOGLETRANSLATE(A1232, ""zh-CN"", ""en"")"),"Heilongjiang Province")</f>
        <v>Heilongjiang Province</v>
      </c>
      <c r="C1306" s="1" t="s">
        <v>1145</v>
      </c>
      <c r="D1306" s="1" t="str">
        <f>IFERROR(__xludf.DUMMYFUNCTION("GOOGLETRANSLATE(C1306, ""zh-CN"", ""en"")"),"Qinhuangdao City")</f>
        <v>Qinhuangdao City</v>
      </c>
      <c r="E1306" s="1" t="s">
        <v>1199</v>
      </c>
      <c r="F1306" s="1" t="str">
        <f>IFERROR(__xludf.DUMMYFUNCTION("GOOGLETRANSLATE(E1306, ""zh-CN"", ""en"")"),"Funing District")</f>
        <v>Funing District</v>
      </c>
      <c r="G1306" s="1">
        <v>1.30306E11</v>
      </c>
    </row>
    <row r="1307">
      <c r="A1307" s="1" t="s">
        <v>1142</v>
      </c>
      <c r="B1307" s="1" t="str">
        <f>IFERROR(__xludf.DUMMYFUNCTION("GOOGLETRANSLATE(A1233, ""zh-CN"", ""en"")"),"Heilongjiang Province")</f>
        <v>Heilongjiang Province</v>
      </c>
      <c r="C1307" s="1" t="s">
        <v>1145</v>
      </c>
      <c r="D1307" s="1" t="str">
        <f>IFERROR(__xludf.DUMMYFUNCTION("GOOGLETRANSLATE(C1307, ""zh-CN"", ""en"")"),"Qinhuangdao City")</f>
        <v>Qinhuangdao City</v>
      </c>
      <c r="E1307" s="1" t="s">
        <v>1200</v>
      </c>
      <c r="F1307" s="1" t="str">
        <f>IFERROR(__xludf.DUMMYFUNCTION("GOOGLETRANSLATE(E1307, ""zh-CN"", ""en"")"),"Qinglong Manchu Autonomous County")</f>
        <v>Qinglong Manchu Autonomous County</v>
      </c>
      <c r="G1307" s="1">
        <v>1.30321E11</v>
      </c>
    </row>
    <row r="1308">
      <c r="A1308" s="1" t="s">
        <v>1142</v>
      </c>
      <c r="B1308" s="1" t="str">
        <f>IFERROR(__xludf.DUMMYFUNCTION("GOOGLETRANSLATE(A1234, ""zh-CN"", ""en"")"),"Heilongjiang Province")</f>
        <v>Heilongjiang Province</v>
      </c>
      <c r="C1308" s="1" t="s">
        <v>1145</v>
      </c>
      <c r="D1308" s="1" t="str">
        <f>IFERROR(__xludf.DUMMYFUNCTION("GOOGLETRANSLATE(C1308, ""zh-CN"", ""en"")"),"Qinhuangdao City")</f>
        <v>Qinhuangdao City</v>
      </c>
      <c r="E1308" s="1" t="s">
        <v>1201</v>
      </c>
      <c r="F1308" s="1" t="str">
        <f>IFERROR(__xludf.DUMMYFUNCTION("GOOGLETRANSLATE(E1308, ""zh-CN"", ""en"")"),"Changli County")</f>
        <v>Changli County</v>
      </c>
      <c r="G1308" s="1">
        <v>1.30322E11</v>
      </c>
    </row>
    <row r="1309">
      <c r="A1309" s="1" t="s">
        <v>1142</v>
      </c>
      <c r="B1309" s="1" t="str">
        <f>IFERROR(__xludf.DUMMYFUNCTION("GOOGLETRANSLATE(A1235, ""zh-CN"", ""en"")"),"Heilongjiang Province")</f>
        <v>Heilongjiang Province</v>
      </c>
      <c r="C1309" s="1" t="s">
        <v>1145</v>
      </c>
      <c r="D1309" s="1" t="str">
        <f>IFERROR(__xludf.DUMMYFUNCTION("GOOGLETRANSLATE(C1309, ""zh-CN"", ""en"")"),"Qinhuangdao City")</f>
        <v>Qinhuangdao City</v>
      </c>
      <c r="E1309" s="1" t="s">
        <v>1202</v>
      </c>
      <c r="F1309" s="1" t="str">
        <f>IFERROR(__xludf.DUMMYFUNCTION("GOOGLETRANSLATE(E1309, ""zh-CN"", ""en"")"),"Lu Long County")</f>
        <v>Lu Long County</v>
      </c>
      <c r="G1309" s="1">
        <v>1.30324E11</v>
      </c>
    </row>
    <row r="1310">
      <c r="A1310" s="1" t="s">
        <v>1142</v>
      </c>
      <c r="B1310" s="1" t="str">
        <f>IFERROR(__xludf.DUMMYFUNCTION("GOOGLETRANSLATE(A1236, ""zh-CN"", ""en"")"),"Heilongjiang Province")</f>
        <v>Heilongjiang Province</v>
      </c>
      <c r="C1310" s="1" t="s">
        <v>1145</v>
      </c>
      <c r="D1310" s="1" t="str">
        <f>IFERROR(__xludf.DUMMYFUNCTION("GOOGLETRANSLATE(C1310, ""zh-CN"", ""en"")"),"Qinhuangdao City")</f>
        <v>Qinhuangdao City</v>
      </c>
      <c r="E1310" s="1" t="s">
        <v>1203</v>
      </c>
      <c r="F1310" s="1" t="str">
        <f>IFERROR(__xludf.DUMMYFUNCTION("GOOGLETRANSLATE(E1310, ""zh-CN"", ""en"")"),"Qinhuangdao City Economic and Technological Development Zone")</f>
        <v>Qinhuangdao City Economic and Technological Development Zone</v>
      </c>
      <c r="G1310" s="1">
        <v>1.30371E11</v>
      </c>
    </row>
    <row r="1311">
      <c r="A1311" s="1" t="s">
        <v>1142</v>
      </c>
      <c r="B1311" s="1" t="str">
        <f>IFERROR(__xludf.DUMMYFUNCTION("GOOGLETRANSLATE(A1237, ""zh-CN"", ""en"")"),"Heilongjiang Province")</f>
        <v>Heilongjiang Province</v>
      </c>
      <c r="C1311" s="1" t="s">
        <v>1145</v>
      </c>
      <c r="D1311" s="1" t="str">
        <f>IFERROR(__xludf.DUMMYFUNCTION("GOOGLETRANSLATE(C1311, ""zh-CN"", ""en"")"),"Qinhuangdao City")</f>
        <v>Qinhuangdao City</v>
      </c>
      <c r="E1311" s="1" t="s">
        <v>1204</v>
      </c>
      <c r="F1311" s="1" t="str">
        <f>IFERROR(__xludf.DUMMYFUNCTION("GOOGLETRANSLATE(E1311, ""zh-CN"", ""en"")"),"Beidaihe New District")</f>
        <v>Beidaihe New District</v>
      </c>
      <c r="G1311" s="1">
        <v>1.30372E11</v>
      </c>
    </row>
    <row r="1312">
      <c r="A1312" s="1" t="s">
        <v>1142</v>
      </c>
      <c r="B1312" s="1" t="str">
        <f>IFERROR(__xludf.DUMMYFUNCTION("GOOGLETRANSLATE(A1238, ""zh-CN"", ""en"")"),"Heilongjiang Province")</f>
        <v>Heilongjiang Province</v>
      </c>
      <c r="C1312" s="1" t="s">
        <v>1146</v>
      </c>
      <c r="D1312" s="1" t="str">
        <f>IFERROR(__xludf.DUMMYFUNCTION("GOOGLETRANSLATE(C1312, ""zh-CN"", ""en"")"),"Handan")</f>
        <v>Handan</v>
      </c>
      <c r="E1312" s="1" t="s">
        <v>24</v>
      </c>
      <c r="F1312" s="1" t="str">
        <f>IFERROR(__xludf.DUMMYFUNCTION("GOOGLETRANSLATE(E1312, ""zh-CN"", ""en"")"),"City area")</f>
        <v>City area</v>
      </c>
      <c r="G1312" s="1">
        <v>1.30401E11</v>
      </c>
    </row>
    <row r="1313">
      <c r="A1313" s="1" t="s">
        <v>1142</v>
      </c>
      <c r="B1313" s="1" t="str">
        <f>IFERROR(__xludf.DUMMYFUNCTION("GOOGLETRANSLATE(A1239, ""zh-CN"", ""en"")"),"Heilongjiang Province")</f>
        <v>Heilongjiang Province</v>
      </c>
      <c r="C1313" s="1" t="s">
        <v>1146</v>
      </c>
      <c r="D1313" s="1" t="str">
        <f>IFERROR(__xludf.DUMMYFUNCTION("GOOGLETRANSLATE(C1313, ""zh-CN"", ""en"")"),"Handan")</f>
        <v>Handan</v>
      </c>
      <c r="E1313" s="1" t="s">
        <v>1205</v>
      </c>
      <c r="F1313" s="1" t="str">
        <f>IFERROR(__xludf.DUMMYFUNCTION("GOOGLETRANSLATE(E1313, ""zh-CN"", ""en"")"),"Hangshan District")</f>
        <v>Hangshan District</v>
      </c>
      <c r="G1313" s="1">
        <v>1.30402E11</v>
      </c>
    </row>
    <row r="1314">
      <c r="A1314" s="1" t="s">
        <v>1142</v>
      </c>
      <c r="B1314" s="1" t="str">
        <f>IFERROR(__xludf.DUMMYFUNCTION("GOOGLETRANSLATE(A1240, ""zh-CN"", ""en"")"),"Heilongjiang Province")</f>
        <v>Heilongjiang Province</v>
      </c>
      <c r="C1314" s="1" t="s">
        <v>1146</v>
      </c>
      <c r="D1314" s="1" t="str">
        <f>IFERROR(__xludf.DUMMYFUNCTION("GOOGLETRANSLATE(C1314, ""zh-CN"", ""en"")"),"Handan")</f>
        <v>Handan</v>
      </c>
      <c r="E1314" s="1" t="s">
        <v>1206</v>
      </c>
      <c r="F1314" s="1" t="str">
        <f>IFERROR(__xludf.DUMMYFUNCTION("GOOGLETRANSLATE(E1314, ""zh-CN"", ""en"")"),"Cluster area")</f>
        <v>Cluster area</v>
      </c>
      <c r="G1314" s="1">
        <v>1.30403E11</v>
      </c>
    </row>
    <row r="1315">
      <c r="A1315" s="1" t="s">
        <v>1142</v>
      </c>
      <c r="B1315" s="1" t="str">
        <f>IFERROR(__xludf.DUMMYFUNCTION("GOOGLETRANSLATE(A1241, ""zh-CN"", ""en"")"),"Heilongjiang Province")</f>
        <v>Heilongjiang Province</v>
      </c>
      <c r="C1315" s="1" t="s">
        <v>1146</v>
      </c>
      <c r="D1315" s="1" t="str">
        <f>IFERROR(__xludf.DUMMYFUNCTION("GOOGLETRANSLATE(C1315, ""zh-CN"", ""en"")"),"Handan")</f>
        <v>Handan</v>
      </c>
      <c r="E1315" s="1" t="s">
        <v>1207</v>
      </c>
      <c r="F1315" s="1" t="str">
        <f>IFERROR(__xludf.DUMMYFUNCTION("GOOGLETRANSLATE(E1315, ""zh-CN"", ""en"")"),"Revival area")</f>
        <v>Revival area</v>
      </c>
      <c r="G1315" s="1">
        <v>1.30404E11</v>
      </c>
    </row>
    <row r="1316">
      <c r="A1316" s="1" t="s">
        <v>1142</v>
      </c>
      <c r="B1316" s="1" t="str">
        <f>IFERROR(__xludf.DUMMYFUNCTION("GOOGLETRANSLATE(A1242, ""zh-CN"", ""en"")"),"Heilongjiang Province")</f>
        <v>Heilongjiang Province</v>
      </c>
      <c r="C1316" s="1" t="s">
        <v>1146</v>
      </c>
      <c r="D1316" s="1" t="str">
        <f>IFERROR(__xludf.DUMMYFUNCTION("GOOGLETRANSLATE(C1316, ""zh-CN"", ""en"")"),"Handan")</f>
        <v>Handan</v>
      </c>
      <c r="E1316" s="1" t="s">
        <v>1208</v>
      </c>
      <c r="F1316" s="1" t="str">
        <f>IFERROR(__xludf.DUMMYFUNCTION("GOOGLETRANSLATE(E1316, ""zh-CN"", ""en"")"),"Fengfeng Mining Area")</f>
        <v>Fengfeng Mining Area</v>
      </c>
      <c r="G1316" s="1">
        <v>1.30406E11</v>
      </c>
    </row>
    <row r="1317">
      <c r="A1317" s="1" t="s">
        <v>1142</v>
      </c>
      <c r="B1317" s="1" t="str">
        <f>IFERROR(__xludf.DUMMYFUNCTION("GOOGLETRANSLATE(A1243, ""zh-CN"", ""en"")"),"Heilongjiang Province")</f>
        <v>Heilongjiang Province</v>
      </c>
      <c r="C1317" s="1" t="s">
        <v>1146</v>
      </c>
      <c r="D1317" s="1" t="str">
        <f>IFERROR(__xludf.DUMMYFUNCTION("GOOGLETRANSLATE(C1317, ""zh-CN"", ""en"")"),"Handan")</f>
        <v>Handan</v>
      </c>
      <c r="E1317" s="1" t="s">
        <v>1209</v>
      </c>
      <c r="F1317" s="1" t="str">
        <f>IFERROR(__xludf.DUMMYFUNCTION("GOOGLETRANSLATE(E1317, ""zh-CN"", ""en"")"),"Fertilizer")</f>
        <v>Fertilizer</v>
      </c>
      <c r="G1317" s="1">
        <v>1.30407E11</v>
      </c>
    </row>
    <row r="1318">
      <c r="A1318" s="1" t="s">
        <v>1142</v>
      </c>
      <c r="B1318" s="1" t="str">
        <f>IFERROR(__xludf.DUMMYFUNCTION("GOOGLETRANSLATE(A1244, ""zh-CN"", ""en"")"),"Heilongjiang Province")</f>
        <v>Heilongjiang Province</v>
      </c>
      <c r="C1318" s="1" t="s">
        <v>1146</v>
      </c>
      <c r="D1318" s="1" t="str">
        <f>IFERROR(__xludf.DUMMYFUNCTION("GOOGLETRANSLATE(C1318, ""zh-CN"", ""en"")"),"Handan")</f>
        <v>Handan</v>
      </c>
      <c r="E1318" s="1" t="s">
        <v>1210</v>
      </c>
      <c r="F1318" s="1" t="str">
        <f>IFERROR(__xludf.DUMMYFUNCTION("GOOGLETRANSLATE(E1318, ""zh-CN"", ""en"")"),"Yongnian District")</f>
        <v>Yongnian District</v>
      </c>
      <c r="G1318" s="1">
        <v>1.30408E11</v>
      </c>
    </row>
    <row r="1319">
      <c r="A1319" s="1" t="s">
        <v>1142</v>
      </c>
      <c r="B1319" s="1" t="str">
        <f>IFERROR(__xludf.DUMMYFUNCTION("GOOGLETRANSLATE(A1245, ""zh-CN"", ""en"")"),"Heilongjiang Province")</f>
        <v>Heilongjiang Province</v>
      </c>
      <c r="C1319" s="1" t="s">
        <v>1146</v>
      </c>
      <c r="D1319" s="1" t="str">
        <f>IFERROR(__xludf.DUMMYFUNCTION("GOOGLETRANSLATE(C1319, ""zh-CN"", ""en"")"),"Handan")</f>
        <v>Handan</v>
      </c>
      <c r="E1319" s="1" t="s">
        <v>1211</v>
      </c>
      <c r="F1319" s="1" t="str">
        <f>IFERROR(__xludf.DUMMYFUNCTION("GOOGLETRANSLATE(E1319, ""zh-CN"", ""en"")"),"Linzhang County")</f>
        <v>Linzhang County</v>
      </c>
      <c r="G1319" s="1">
        <v>1.30423E11</v>
      </c>
    </row>
    <row r="1320">
      <c r="A1320" s="1" t="s">
        <v>1142</v>
      </c>
      <c r="B1320" s="1" t="str">
        <f>IFERROR(__xludf.DUMMYFUNCTION("GOOGLETRANSLATE(A1246, ""zh-CN"", ""en"")"),"Hebei Province")</f>
        <v>Hebei Province</v>
      </c>
      <c r="C1320" s="1" t="s">
        <v>1146</v>
      </c>
      <c r="D1320" s="1" t="str">
        <f>IFERROR(__xludf.DUMMYFUNCTION("GOOGLETRANSLATE(C1320, ""zh-CN"", ""en"")"),"Handan")</f>
        <v>Handan</v>
      </c>
      <c r="E1320" s="1" t="s">
        <v>1212</v>
      </c>
      <c r="F1320" s="1" t="str">
        <f>IFERROR(__xludf.DUMMYFUNCTION("GOOGLETRANSLATE(E1320, ""zh-CN"", ""en"")"),"Cheng'an County")</f>
        <v>Cheng'an County</v>
      </c>
      <c r="G1320" s="1">
        <v>1.30424E11</v>
      </c>
    </row>
    <row r="1321">
      <c r="A1321" s="1" t="s">
        <v>1142</v>
      </c>
      <c r="B1321" s="1" t="str">
        <f>IFERROR(__xludf.DUMMYFUNCTION("GOOGLETRANSLATE(A1247, ""zh-CN"", ""en"")"),"Hebei Province")</f>
        <v>Hebei Province</v>
      </c>
      <c r="C1321" s="1" t="s">
        <v>1146</v>
      </c>
      <c r="D1321" s="1" t="str">
        <f>IFERROR(__xludf.DUMMYFUNCTION("GOOGLETRANSLATE(C1321, ""zh-CN"", ""en"")"),"Handan")</f>
        <v>Handan</v>
      </c>
      <c r="E1321" s="1" t="s">
        <v>1213</v>
      </c>
      <c r="F1321" s="1" t="str">
        <f>IFERROR(__xludf.DUMMYFUNCTION("GOOGLETRANSLATE(E1321, ""zh-CN"", ""en"")"),"Daming County")</f>
        <v>Daming County</v>
      </c>
      <c r="G1321" s="1">
        <v>1.30425E11</v>
      </c>
    </row>
    <row r="1322">
      <c r="A1322" s="1" t="s">
        <v>1142</v>
      </c>
      <c r="B1322" s="1" t="str">
        <f>IFERROR(__xludf.DUMMYFUNCTION("GOOGLETRANSLATE(A1248, ""zh-CN"", ""en"")"),"Hebei Province")</f>
        <v>Hebei Province</v>
      </c>
      <c r="C1322" s="1" t="s">
        <v>1146</v>
      </c>
      <c r="D1322" s="1" t="str">
        <f>IFERROR(__xludf.DUMMYFUNCTION("GOOGLETRANSLATE(C1322, ""zh-CN"", ""en"")"),"Handan")</f>
        <v>Handan</v>
      </c>
      <c r="E1322" s="1" t="s">
        <v>1214</v>
      </c>
      <c r="F1322" s="1" t="str">
        <f>IFERROR(__xludf.DUMMYFUNCTION("GOOGLETRANSLATE(E1322, ""zh-CN"", ""en"")"),"County")</f>
        <v>County</v>
      </c>
      <c r="G1322" s="1">
        <v>1.30426E11</v>
      </c>
    </row>
    <row r="1323">
      <c r="A1323" s="1" t="s">
        <v>1142</v>
      </c>
      <c r="B1323" s="1" t="str">
        <f>IFERROR(__xludf.DUMMYFUNCTION("GOOGLETRANSLATE(A1249, ""zh-CN"", ""en"")"),"Hebei Province")</f>
        <v>Hebei Province</v>
      </c>
      <c r="C1323" s="1" t="s">
        <v>1146</v>
      </c>
      <c r="D1323" s="1" t="str">
        <f>IFERROR(__xludf.DUMMYFUNCTION("GOOGLETRANSLATE(C1323, ""zh-CN"", ""en"")"),"Handan")</f>
        <v>Handan</v>
      </c>
      <c r="E1323" s="1" t="s">
        <v>1215</v>
      </c>
      <c r="F1323" s="1" t="str">
        <f>IFERROR(__xludf.DUMMYFUNCTION("GOOGLETRANSLATE(E1323, ""zh-CN"", ""en"")"),"Magnetic county")</f>
        <v>Magnetic county</v>
      </c>
      <c r="G1323" s="1">
        <v>1.30427E11</v>
      </c>
    </row>
    <row r="1324">
      <c r="A1324" s="1" t="s">
        <v>1142</v>
      </c>
      <c r="B1324" s="1" t="str">
        <f>IFERROR(__xludf.DUMMYFUNCTION("GOOGLETRANSLATE(A1250, ""zh-CN"", ""en"")"),"Hebei Province")</f>
        <v>Hebei Province</v>
      </c>
      <c r="C1324" s="1" t="s">
        <v>1146</v>
      </c>
      <c r="D1324" s="1" t="str">
        <f>IFERROR(__xludf.DUMMYFUNCTION("GOOGLETRANSLATE(C1324, ""zh-CN"", ""en"")"),"Handan")</f>
        <v>Handan</v>
      </c>
      <c r="E1324" s="1" t="s">
        <v>1216</v>
      </c>
      <c r="F1324" s="1" t="str">
        <f>IFERROR(__xludf.DUMMYFUNCTION("GOOGLETRANSLATE(E1324, ""zh-CN"", ""en"")"),"Qiu County")</f>
        <v>Qiu County</v>
      </c>
      <c r="G1324" s="1">
        <v>1.3043E11</v>
      </c>
    </row>
    <row r="1325">
      <c r="A1325" s="1" t="s">
        <v>1142</v>
      </c>
      <c r="B1325" s="1" t="str">
        <f>IFERROR(__xludf.DUMMYFUNCTION("GOOGLETRANSLATE(A1251, ""zh-CN"", ""en"")"),"Hebei Province")</f>
        <v>Hebei Province</v>
      </c>
      <c r="C1325" s="1" t="s">
        <v>1146</v>
      </c>
      <c r="D1325" s="1" t="str">
        <f>IFERROR(__xludf.DUMMYFUNCTION("GOOGLETRANSLATE(C1325, ""zh-CN"", ""en"")"),"Handan")</f>
        <v>Handan</v>
      </c>
      <c r="E1325" s="1" t="s">
        <v>1217</v>
      </c>
      <c r="F1325" s="1" t="str">
        <f>IFERROR(__xludf.DUMMYFUNCTION("GOOGLETRANSLATE(E1325, ""zh-CN"", ""en"")"),"Jize County")</f>
        <v>Jize County</v>
      </c>
      <c r="G1325" s="1">
        <v>1.30431E11</v>
      </c>
    </row>
    <row r="1326">
      <c r="A1326" s="1" t="s">
        <v>1142</v>
      </c>
      <c r="B1326" s="1" t="str">
        <f>IFERROR(__xludf.DUMMYFUNCTION("GOOGLETRANSLATE(A1252, ""zh-CN"", ""en"")"),"Hebei Province")</f>
        <v>Hebei Province</v>
      </c>
      <c r="C1326" s="1" t="s">
        <v>1146</v>
      </c>
      <c r="D1326" s="1" t="str">
        <f>IFERROR(__xludf.DUMMYFUNCTION("GOOGLETRANSLATE(C1326, ""zh-CN"", ""en"")"),"Handan")</f>
        <v>Handan</v>
      </c>
      <c r="E1326" s="1" t="s">
        <v>1218</v>
      </c>
      <c r="F1326" s="1" t="str">
        <f>IFERROR(__xludf.DUMMYFUNCTION("GOOGLETRANSLATE(E1326, ""zh-CN"", ""en"")"),"Guangping County")</f>
        <v>Guangping County</v>
      </c>
      <c r="G1326" s="1">
        <v>1.30432E11</v>
      </c>
    </row>
    <row r="1327">
      <c r="A1327" s="1" t="s">
        <v>1142</v>
      </c>
      <c r="B1327" s="1" t="str">
        <f>IFERROR(__xludf.DUMMYFUNCTION("GOOGLETRANSLATE(A1253, ""zh-CN"", ""en"")"),"Hebei Province")</f>
        <v>Hebei Province</v>
      </c>
      <c r="C1327" s="1" t="s">
        <v>1146</v>
      </c>
      <c r="D1327" s="1" t="str">
        <f>IFERROR(__xludf.DUMMYFUNCTION("GOOGLETRANSLATE(C1327, ""zh-CN"", ""en"")"),"Handan")</f>
        <v>Handan</v>
      </c>
      <c r="E1327" s="1" t="s">
        <v>1219</v>
      </c>
      <c r="F1327" s="1" t="str">
        <f>IFERROR(__xludf.DUMMYFUNCTION("GOOGLETRANSLATE(E1327, ""zh-CN"", ""en"")"),"Museumi County")</f>
        <v>Museumi County</v>
      </c>
      <c r="G1327" s="1">
        <v>1.30433E11</v>
      </c>
    </row>
    <row r="1328">
      <c r="A1328" s="1" t="s">
        <v>1142</v>
      </c>
      <c r="B1328" s="1" t="str">
        <f>IFERROR(__xludf.DUMMYFUNCTION("GOOGLETRANSLATE(A1254, ""zh-CN"", ""en"")"),"Hebei Province")</f>
        <v>Hebei Province</v>
      </c>
      <c r="C1328" s="1" t="s">
        <v>1146</v>
      </c>
      <c r="D1328" s="1" t="str">
        <f>IFERROR(__xludf.DUMMYFUNCTION("GOOGLETRANSLATE(C1328, ""zh-CN"", ""en"")"),"Handan")</f>
        <v>Handan</v>
      </c>
      <c r="E1328" s="1" t="s">
        <v>1220</v>
      </c>
      <c r="F1328" s="1" t="str">
        <f>IFERROR(__xludf.DUMMYFUNCTION("GOOGLETRANSLATE(E1328, ""zh-CN"", ""en"")"),"Wei County")</f>
        <v>Wei County</v>
      </c>
      <c r="G1328" s="1">
        <v>1.30434E11</v>
      </c>
    </row>
    <row r="1329">
      <c r="A1329" s="1" t="s">
        <v>1142</v>
      </c>
      <c r="B1329" s="1" t="str">
        <f>IFERROR(__xludf.DUMMYFUNCTION("GOOGLETRANSLATE(A1255, ""zh-CN"", ""en"")"),"Hebei Province")</f>
        <v>Hebei Province</v>
      </c>
      <c r="C1329" s="1" t="s">
        <v>1146</v>
      </c>
      <c r="D1329" s="1" t="str">
        <f>IFERROR(__xludf.DUMMYFUNCTION("GOOGLETRANSLATE(C1329, ""zh-CN"", ""en"")"),"Handan")</f>
        <v>Handan</v>
      </c>
      <c r="E1329" s="1" t="s">
        <v>1221</v>
      </c>
      <c r="F1329" s="1" t="str">
        <f>IFERROR(__xludf.DUMMYFUNCTION("GOOGLETRANSLATE(E1329, ""zh-CN"", ""en"")"),"Qu Zhou County")</f>
        <v>Qu Zhou County</v>
      </c>
      <c r="G1329" s="1">
        <v>1.30435E11</v>
      </c>
    </row>
    <row r="1330">
      <c r="A1330" s="1" t="s">
        <v>1142</v>
      </c>
      <c r="B1330" s="1" t="str">
        <f>IFERROR(__xludf.DUMMYFUNCTION("GOOGLETRANSLATE(A1256, ""zh-CN"", ""en"")"),"Hebei Province")</f>
        <v>Hebei Province</v>
      </c>
      <c r="C1330" s="1" t="s">
        <v>1146</v>
      </c>
      <c r="D1330" s="1" t="str">
        <f>IFERROR(__xludf.DUMMYFUNCTION("GOOGLETRANSLATE(C1330, ""zh-CN"", ""en"")"),"Handan")</f>
        <v>Handan</v>
      </c>
      <c r="E1330" s="1" t="s">
        <v>1222</v>
      </c>
      <c r="F1330" s="1" t="str">
        <f>IFERROR(__xludf.DUMMYFUNCTION("GOOGLETRANSLATE(E1330, ""zh-CN"", ""en"")"),"Handan Economic and Technological Development Zone")</f>
        <v>Handan Economic and Technological Development Zone</v>
      </c>
      <c r="G1330" s="1">
        <v>1.30471E11</v>
      </c>
    </row>
    <row r="1331">
      <c r="A1331" s="1" t="s">
        <v>1142</v>
      </c>
      <c r="B1331" s="1" t="str">
        <f>IFERROR(__xludf.DUMMYFUNCTION("GOOGLETRANSLATE(A1257, ""zh-CN"", ""en"")"),"Hebei Province")</f>
        <v>Hebei Province</v>
      </c>
      <c r="C1331" s="1" t="s">
        <v>1146</v>
      </c>
      <c r="D1331" s="1" t="str">
        <f>IFERROR(__xludf.DUMMYFUNCTION("GOOGLETRANSLATE(C1331, ""zh-CN"", ""en"")"),"Handan")</f>
        <v>Handan</v>
      </c>
      <c r="E1331" s="1" t="s">
        <v>1223</v>
      </c>
      <c r="F1331" s="1" t="str">
        <f>IFERROR(__xludf.DUMMYFUNCTION("GOOGLETRANSLATE(E1331, ""zh-CN"", ""en"")"),"Handan Hebei New District")</f>
        <v>Handan Hebei New District</v>
      </c>
      <c r="G1331" s="1">
        <v>1.30473E11</v>
      </c>
    </row>
    <row r="1332">
      <c r="A1332" s="1" t="s">
        <v>1142</v>
      </c>
      <c r="B1332" s="1" t="str">
        <f>IFERROR(__xludf.DUMMYFUNCTION("GOOGLETRANSLATE(A1258, ""zh-CN"", ""en"")"),"Hebei Province")</f>
        <v>Hebei Province</v>
      </c>
      <c r="C1332" s="1" t="s">
        <v>1146</v>
      </c>
      <c r="D1332" s="1" t="str">
        <f>IFERROR(__xludf.DUMMYFUNCTION("GOOGLETRANSLATE(C1332, ""zh-CN"", ""en"")"),"Handan")</f>
        <v>Handan</v>
      </c>
      <c r="E1332" s="1" t="s">
        <v>1224</v>
      </c>
      <c r="F1332" s="1" t="str">
        <f>IFERROR(__xludf.DUMMYFUNCTION("GOOGLETRANSLATE(E1332, ""zh-CN"", ""en"")"),"Wu'an City")</f>
        <v>Wu'an City</v>
      </c>
      <c r="G1332" s="1">
        <v>1.30481E11</v>
      </c>
    </row>
    <row r="1333">
      <c r="A1333" s="1" t="s">
        <v>1142</v>
      </c>
      <c r="B1333" s="1" t="str">
        <f>IFERROR(__xludf.DUMMYFUNCTION("GOOGLETRANSLATE(A1259, ""zh-CN"", ""en"")"),"Hebei Province")</f>
        <v>Hebei Province</v>
      </c>
      <c r="C1333" s="1" t="s">
        <v>1147</v>
      </c>
      <c r="D1333" s="1" t="str">
        <f>IFERROR(__xludf.DUMMYFUNCTION("GOOGLETRANSLATE(C1333, ""zh-CN"", ""en"")"),"Xingtai city")</f>
        <v>Xingtai city</v>
      </c>
      <c r="E1333" s="1" t="s">
        <v>24</v>
      </c>
      <c r="F1333" s="1" t="str">
        <f>IFERROR(__xludf.DUMMYFUNCTION("GOOGLETRANSLATE(E1333, ""zh-CN"", ""en"")"),"City area")</f>
        <v>City area</v>
      </c>
      <c r="G1333" s="1">
        <v>1.30501E11</v>
      </c>
    </row>
    <row r="1334">
      <c r="A1334" s="1" t="s">
        <v>1142</v>
      </c>
      <c r="B1334" s="1" t="str">
        <f>IFERROR(__xludf.DUMMYFUNCTION("GOOGLETRANSLATE(A1260, ""zh-CN"", ""en"")"),"Hebei Province")</f>
        <v>Hebei Province</v>
      </c>
      <c r="C1334" s="1" t="s">
        <v>1147</v>
      </c>
      <c r="D1334" s="1" t="str">
        <f>IFERROR(__xludf.DUMMYFUNCTION("GOOGLETRANSLATE(C1334, ""zh-CN"", ""en"")"),"Xingtai city")</f>
        <v>Xingtai city</v>
      </c>
      <c r="E1334" s="1" t="s">
        <v>1225</v>
      </c>
      <c r="F1334" s="1" t="str">
        <f>IFERROR(__xludf.DUMMYFUNCTION("GOOGLETRANSLATE(E1334, ""zh-CN"", ""en"")"),"Xiangdu District")</f>
        <v>Xiangdu District</v>
      </c>
      <c r="G1334" s="1">
        <v>1.30502E11</v>
      </c>
    </row>
    <row r="1335">
      <c r="A1335" s="1" t="s">
        <v>1142</v>
      </c>
      <c r="B1335" s="1" t="str">
        <f>IFERROR(__xludf.DUMMYFUNCTION("GOOGLETRANSLATE(A1261, ""zh-CN"", ""en"")"),"Hebei Province")</f>
        <v>Hebei Province</v>
      </c>
      <c r="C1335" s="1" t="s">
        <v>1147</v>
      </c>
      <c r="D1335" s="1" t="str">
        <f>IFERROR(__xludf.DUMMYFUNCTION("GOOGLETRANSLATE(C1335, ""zh-CN"", ""en"")"),"Xingtai city")</f>
        <v>Xingtai city</v>
      </c>
      <c r="E1335" s="1" t="s">
        <v>1226</v>
      </c>
      <c r="F1335" s="1" t="str">
        <f>IFERROR(__xludf.DUMMYFUNCTION("GOOGLETRANSLATE(E1335, ""zh-CN"", ""en"")"),"Xindu District")</f>
        <v>Xindu District</v>
      </c>
      <c r="G1335" s="1">
        <v>1.30503E11</v>
      </c>
    </row>
    <row r="1336">
      <c r="A1336" s="1" t="s">
        <v>1142</v>
      </c>
      <c r="B1336" s="1" t="str">
        <f>IFERROR(__xludf.DUMMYFUNCTION("GOOGLETRANSLATE(A1262, ""zh-CN"", ""en"")"),"Hebei Province")</f>
        <v>Hebei Province</v>
      </c>
      <c r="C1336" s="1" t="s">
        <v>1147</v>
      </c>
      <c r="D1336" s="1" t="str">
        <f>IFERROR(__xludf.DUMMYFUNCTION("GOOGLETRANSLATE(C1336, ""zh-CN"", ""en"")"),"Xingtai city")</f>
        <v>Xingtai city</v>
      </c>
      <c r="E1336" s="1" t="s">
        <v>1227</v>
      </c>
      <c r="F1336" s="1" t="str">
        <f>IFERROR(__xludf.DUMMYFUNCTION("GOOGLETRANSLATE(E1336, ""zh-CN"", ""en"")"),"Renze District")</f>
        <v>Renze District</v>
      </c>
      <c r="G1336" s="1">
        <v>1.30505E11</v>
      </c>
    </row>
    <row r="1337">
      <c r="A1337" s="1" t="s">
        <v>1142</v>
      </c>
      <c r="B1337" s="1" t="str">
        <f>IFERROR(__xludf.DUMMYFUNCTION("GOOGLETRANSLATE(A1263, ""zh-CN"", ""en"")"),"Hebei Province")</f>
        <v>Hebei Province</v>
      </c>
      <c r="C1337" s="1" t="s">
        <v>1147</v>
      </c>
      <c r="D1337" s="1" t="str">
        <f>IFERROR(__xludf.DUMMYFUNCTION("GOOGLETRANSLATE(C1337, ""zh-CN"", ""en"")"),"Xingtai city")</f>
        <v>Xingtai city</v>
      </c>
      <c r="E1337" s="1" t="s">
        <v>1228</v>
      </c>
      <c r="F1337" s="1" t="str">
        <f>IFERROR(__xludf.DUMMYFUNCTION("GOOGLETRANSLATE(E1337, ""zh-CN"", ""en"")"),"Nanhe District")</f>
        <v>Nanhe District</v>
      </c>
      <c r="G1337" s="1">
        <v>1.30506E11</v>
      </c>
    </row>
    <row r="1338">
      <c r="A1338" s="1" t="s">
        <v>1142</v>
      </c>
      <c r="B1338" s="1" t="str">
        <f>IFERROR(__xludf.DUMMYFUNCTION("GOOGLETRANSLATE(A1264, ""zh-CN"", ""en"")"),"Hebei Province")</f>
        <v>Hebei Province</v>
      </c>
      <c r="C1338" s="1" t="s">
        <v>1147</v>
      </c>
      <c r="D1338" s="1" t="str">
        <f>IFERROR(__xludf.DUMMYFUNCTION("GOOGLETRANSLATE(C1338, ""zh-CN"", ""en"")"),"Xingtai city")</f>
        <v>Xingtai city</v>
      </c>
      <c r="E1338" s="1" t="s">
        <v>1229</v>
      </c>
      <c r="F1338" s="1" t="str">
        <f>IFERROR(__xludf.DUMMYFUNCTION("GOOGLETRANSLATE(E1338, ""zh-CN"", ""en"")"),"Lincheng County")</f>
        <v>Lincheng County</v>
      </c>
      <c r="G1338" s="1">
        <v>1.30522E11</v>
      </c>
    </row>
    <row r="1339">
      <c r="A1339" s="1" t="s">
        <v>1142</v>
      </c>
      <c r="B1339" s="1" t="str">
        <f>IFERROR(__xludf.DUMMYFUNCTION("GOOGLETRANSLATE(A1265, ""zh-CN"", ""en"")"),"Hebei Province")</f>
        <v>Hebei Province</v>
      </c>
      <c r="C1339" s="1" t="s">
        <v>1147</v>
      </c>
      <c r="D1339" s="1" t="str">
        <f>IFERROR(__xludf.DUMMYFUNCTION("GOOGLETRANSLATE(C1339, ""zh-CN"", ""en"")"),"Xingtai city")</f>
        <v>Xingtai city</v>
      </c>
      <c r="E1339" s="1" t="s">
        <v>1230</v>
      </c>
      <c r="F1339" s="1" t="str">
        <f>IFERROR(__xludf.DUMMYFUNCTION("GOOGLETRANSLATE(E1339, ""zh-CN"", ""en"")"),"Neiqiu County")</f>
        <v>Neiqiu County</v>
      </c>
      <c r="G1339" s="1">
        <v>1.30523E11</v>
      </c>
    </row>
    <row r="1340">
      <c r="A1340" s="1" t="s">
        <v>1142</v>
      </c>
      <c r="B1340" s="1" t="str">
        <f>IFERROR(__xludf.DUMMYFUNCTION("GOOGLETRANSLATE(A1266, ""zh-CN"", ""en"")"),"Hebei Province")</f>
        <v>Hebei Province</v>
      </c>
      <c r="C1340" s="1" t="s">
        <v>1147</v>
      </c>
      <c r="D1340" s="1" t="str">
        <f>IFERROR(__xludf.DUMMYFUNCTION("GOOGLETRANSLATE(C1340, ""zh-CN"", ""en"")"),"Xingtai city")</f>
        <v>Xingtai city</v>
      </c>
      <c r="E1340" s="1" t="s">
        <v>1231</v>
      </c>
      <c r="F1340" s="1" t="str">
        <f>IFERROR(__xludf.DUMMYFUNCTION("GOOGLETRANSLATE(E1340, ""zh-CN"", ""en"")"),"Baixiang County")</f>
        <v>Baixiang County</v>
      </c>
      <c r="G1340" s="1">
        <v>1.30524E11</v>
      </c>
    </row>
    <row r="1341">
      <c r="A1341" s="1" t="s">
        <v>1142</v>
      </c>
      <c r="B1341" s="1" t="str">
        <f>IFERROR(__xludf.DUMMYFUNCTION("GOOGLETRANSLATE(A1267, ""zh-CN"", ""en"")"),"Hebei Province")</f>
        <v>Hebei Province</v>
      </c>
      <c r="C1341" s="1" t="s">
        <v>1147</v>
      </c>
      <c r="D1341" s="1" t="str">
        <f>IFERROR(__xludf.DUMMYFUNCTION("GOOGLETRANSLATE(C1341, ""zh-CN"", ""en"")"),"Xingtai city")</f>
        <v>Xingtai city</v>
      </c>
      <c r="E1341" s="1" t="s">
        <v>1232</v>
      </c>
      <c r="F1341" s="1" t="str">
        <f>IFERROR(__xludf.DUMMYFUNCTION("GOOGLETRANSLATE(E1341, ""zh-CN"", ""en"")"),"Longyao County")</f>
        <v>Longyao County</v>
      </c>
      <c r="G1341" s="1">
        <v>1.30525E11</v>
      </c>
    </row>
    <row r="1342">
      <c r="A1342" s="1" t="s">
        <v>1142</v>
      </c>
      <c r="B1342" s="1" t="str">
        <f>IFERROR(__xludf.DUMMYFUNCTION("GOOGLETRANSLATE(A1268, ""zh-CN"", ""en"")"),"Hebei Province")</f>
        <v>Hebei Province</v>
      </c>
      <c r="C1342" s="1" t="s">
        <v>1147</v>
      </c>
      <c r="D1342" s="1" t="str">
        <f>IFERROR(__xludf.DUMMYFUNCTION("GOOGLETRANSLATE(C1342, ""zh-CN"", ""en"")"),"Xingtai city")</f>
        <v>Xingtai city</v>
      </c>
      <c r="E1342" s="1" t="s">
        <v>1233</v>
      </c>
      <c r="F1342" s="1" t="str">
        <f>IFERROR(__xludf.DUMMYFUNCTION("GOOGLETRANSLATE(E1342, ""zh-CN"", ""en"")"),"Ningjin County")</f>
        <v>Ningjin County</v>
      </c>
      <c r="G1342" s="1">
        <v>1.30528E11</v>
      </c>
    </row>
    <row r="1343">
      <c r="A1343" s="1" t="s">
        <v>1142</v>
      </c>
      <c r="B1343" s="1" t="str">
        <f>IFERROR(__xludf.DUMMYFUNCTION("GOOGLETRANSLATE(A1269, ""zh-CN"", ""en"")"),"Hebei Province")</f>
        <v>Hebei Province</v>
      </c>
      <c r="C1343" s="1" t="s">
        <v>1147</v>
      </c>
      <c r="D1343" s="1" t="str">
        <f>IFERROR(__xludf.DUMMYFUNCTION("GOOGLETRANSLATE(C1343, ""zh-CN"", ""en"")"),"Xingtai city")</f>
        <v>Xingtai city</v>
      </c>
      <c r="E1343" s="1" t="s">
        <v>1234</v>
      </c>
      <c r="F1343" s="1" t="str">
        <f>IFERROR(__xludf.DUMMYFUNCTION("GOOGLETRANSLATE(E1343, ""zh-CN"", ""en"")"),"Junlu County")</f>
        <v>Junlu County</v>
      </c>
      <c r="G1343" s="1">
        <v>1.30529E11</v>
      </c>
    </row>
    <row r="1344">
      <c r="A1344" s="1" t="s">
        <v>1142</v>
      </c>
      <c r="B1344" s="1" t="str">
        <f>IFERROR(__xludf.DUMMYFUNCTION("GOOGLETRANSLATE(A1270, ""zh-CN"", ""en"")"),"Hebei Province")</f>
        <v>Hebei Province</v>
      </c>
      <c r="C1344" s="1" t="s">
        <v>1147</v>
      </c>
      <c r="D1344" s="1" t="str">
        <f>IFERROR(__xludf.DUMMYFUNCTION("GOOGLETRANSLATE(C1344, ""zh-CN"", ""en"")"),"Xingtai city")</f>
        <v>Xingtai city</v>
      </c>
      <c r="E1344" s="1" t="s">
        <v>1235</v>
      </c>
      <c r="F1344" s="1" t="str">
        <f>IFERROR(__xludf.DUMMYFUNCTION("GOOGLETRANSLATE(E1344, ""zh-CN"", ""en"")"),"Xinhe County")</f>
        <v>Xinhe County</v>
      </c>
      <c r="G1344" s="1">
        <v>1.3053E11</v>
      </c>
    </row>
    <row r="1345">
      <c r="A1345" s="1" t="s">
        <v>1142</v>
      </c>
      <c r="B1345" s="1" t="str">
        <f>IFERROR(__xludf.DUMMYFUNCTION("GOOGLETRANSLATE(A1271, ""zh-CN"", ""en"")"),"Hebei Province")</f>
        <v>Hebei Province</v>
      </c>
      <c r="C1345" s="1" t="s">
        <v>1147</v>
      </c>
      <c r="D1345" s="1" t="str">
        <f>IFERROR(__xludf.DUMMYFUNCTION("GOOGLETRANSLATE(C1345, ""zh-CN"", ""en"")"),"Xingtai city")</f>
        <v>Xingtai city</v>
      </c>
      <c r="E1345" s="1" t="s">
        <v>1236</v>
      </c>
      <c r="F1345" s="1" t="str">
        <f>IFERROR(__xludf.DUMMYFUNCTION("GOOGLETRANSLATE(E1345, ""zh-CN"", ""en"")"),"Guangzong County")</f>
        <v>Guangzong County</v>
      </c>
      <c r="G1345" s="1">
        <v>1.30531E11</v>
      </c>
    </row>
    <row r="1346">
      <c r="A1346" s="1" t="s">
        <v>1142</v>
      </c>
      <c r="B1346" s="1" t="str">
        <f>IFERROR(__xludf.DUMMYFUNCTION("GOOGLETRANSLATE(A1272, ""zh-CN"", ""en"")"),"Hebei Province")</f>
        <v>Hebei Province</v>
      </c>
      <c r="C1346" s="1" t="s">
        <v>1147</v>
      </c>
      <c r="D1346" s="1" t="str">
        <f>IFERROR(__xludf.DUMMYFUNCTION("GOOGLETRANSLATE(C1346, ""zh-CN"", ""en"")"),"Xingtai city")</f>
        <v>Xingtai city</v>
      </c>
      <c r="E1346" s="1" t="s">
        <v>1237</v>
      </c>
      <c r="F1346" s="1" t="str">
        <f>IFERROR(__xludf.DUMMYFUNCTION("GOOGLETRANSLATE(E1346, ""zh-CN"", ""en"")"),"Pingxiang County")</f>
        <v>Pingxiang County</v>
      </c>
      <c r="G1346" s="1">
        <v>1.30532E11</v>
      </c>
    </row>
    <row r="1347">
      <c r="A1347" s="1" t="s">
        <v>1142</v>
      </c>
      <c r="B1347" s="1" t="str">
        <f>IFERROR(__xludf.DUMMYFUNCTION("GOOGLETRANSLATE(A1273, ""zh-CN"", ""en"")"),"Hebei Province")</f>
        <v>Hebei Province</v>
      </c>
      <c r="C1347" s="1" t="s">
        <v>1147</v>
      </c>
      <c r="D1347" s="1" t="str">
        <f>IFERROR(__xludf.DUMMYFUNCTION("GOOGLETRANSLATE(C1347, ""zh-CN"", ""en"")"),"Xingtai city")</f>
        <v>Xingtai city</v>
      </c>
      <c r="E1347" s="1" t="s">
        <v>1238</v>
      </c>
      <c r="F1347" s="1" t="str">
        <f>IFERROR(__xludf.DUMMYFUNCTION("GOOGLETRANSLATE(E1347, ""zh-CN"", ""en"")"),"Wei County")</f>
        <v>Wei County</v>
      </c>
      <c r="G1347" s="1">
        <v>1.30533E11</v>
      </c>
    </row>
    <row r="1348">
      <c r="A1348" s="1" t="s">
        <v>1142</v>
      </c>
      <c r="B1348" s="1" t="str">
        <f>IFERROR(__xludf.DUMMYFUNCTION("GOOGLETRANSLATE(A1274, ""zh-CN"", ""en"")"),"Hebei Province")</f>
        <v>Hebei Province</v>
      </c>
      <c r="C1348" s="1" t="s">
        <v>1147</v>
      </c>
      <c r="D1348" s="1" t="str">
        <f>IFERROR(__xludf.DUMMYFUNCTION("GOOGLETRANSLATE(C1348, ""zh-CN"", ""en"")"),"Xingtai city")</f>
        <v>Xingtai city</v>
      </c>
      <c r="E1348" s="1" t="s">
        <v>1239</v>
      </c>
      <c r="F1348" s="1" t="str">
        <f>IFERROR(__xludf.DUMMYFUNCTION("GOOGLETRANSLATE(E1348, ""zh-CN"", ""en"")"),"Qinghe County")</f>
        <v>Qinghe County</v>
      </c>
      <c r="G1348" s="1">
        <v>1.30534E11</v>
      </c>
    </row>
    <row r="1349">
      <c r="A1349" s="1" t="s">
        <v>1142</v>
      </c>
      <c r="B1349" s="1" t="str">
        <f>IFERROR(__xludf.DUMMYFUNCTION("GOOGLETRANSLATE(A1275, ""zh-CN"", ""en"")"),"Hebei Province")</f>
        <v>Hebei Province</v>
      </c>
      <c r="C1349" s="1" t="s">
        <v>1147</v>
      </c>
      <c r="D1349" s="1" t="str">
        <f>IFERROR(__xludf.DUMMYFUNCTION("GOOGLETRANSLATE(C1349, ""zh-CN"", ""en"")"),"Xingtai city")</f>
        <v>Xingtai city</v>
      </c>
      <c r="E1349" s="1" t="s">
        <v>1240</v>
      </c>
      <c r="F1349" s="1" t="str">
        <f>IFERROR(__xludf.DUMMYFUNCTION("GOOGLETRANSLATE(E1349, ""zh-CN"", ""en"")"),"Linxi County")</f>
        <v>Linxi County</v>
      </c>
      <c r="G1349" s="1">
        <v>1.30535E11</v>
      </c>
    </row>
    <row r="1350">
      <c r="A1350" s="1" t="s">
        <v>1142</v>
      </c>
      <c r="B1350" s="1" t="str">
        <f>IFERROR(__xludf.DUMMYFUNCTION("GOOGLETRANSLATE(A1276, ""zh-CN"", ""en"")"),"Hebei Province")</f>
        <v>Hebei Province</v>
      </c>
      <c r="C1350" s="1" t="s">
        <v>1147</v>
      </c>
      <c r="D1350" s="1" t="str">
        <f>IFERROR(__xludf.DUMMYFUNCTION("GOOGLETRANSLATE(C1350, ""zh-CN"", ""en"")"),"Xingtai city")</f>
        <v>Xingtai city</v>
      </c>
      <c r="E1350" s="1" t="s">
        <v>1241</v>
      </c>
      <c r="F1350" s="1" t="str">
        <f>IFERROR(__xludf.DUMMYFUNCTION("GOOGLETRANSLATE(E1350, ""zh-CN"", ""en"")"),"Xingtai Economic Development Zone, Hebei")</f>
        <v>Xingtai Economic Development Zone, Hebei</v>
      </c>
      <c r="G1350" s="1">
        <v>1.30571E11</v>
      </c>
    </row>
    <row r="1351">
      <c r="A1351" s="1" t="s">
        <v>1142</v>
      </c>
      <c r="B1351" s="1" t="str">
        <f>IFERROR(__xludf.DUMMYFUNCTION("GOOGLETRANSLATE(A1277, ""zh-CN"", ""en"")"),"Hebei Province")</f>
        <v>Hebei Province</v>
      </c>
      <c r="C1351" s="1" t="s">
        <v>1147</v>
      </c>
      <c r="D1351" s="1" t="str">
        <f>IFERROR(__xludf.DUMMYFUNCTION("GOOGLETRANSLATE(C1351, ""zh-CN"", ""en"")"),"Xingtai city")</f>
        <v>Xingtai city</v>
      </c>
      <c r="E1351" s="1" t="s">
        <v>1242</v>
      </c>
      <c r="F1351" s="1" t="str">
        <f>IFERROR(__xludf.DUMMYFUNCTION("GOOGLETRANSLATE(E1351, ""zh-CN"", ""en"")"),"Nangong")</f>
        <v>Nangong</v>
      </c>
      <c r="G1351" s="1">
        <v>1.30581E11</v>
      </c>
    </row>
    <row r="1352">
      <c r="A1352" s="1" t="s">
        <v>1142</v>
      </c>
      <c r="B1352" s="1" t="str">
        <f>IFERROR(__xludf.DUMMYFUNCTION("GOOGLETRANSLATE(A1278, ""zh-CN"", ""en"")"),"Hebei Province")</f>
        <v>Hebei Province</v>
      </c>
      <c r="C1352" s="1" t="s">
        <v>1147</v>
      </c>
      <c r="D1352" s="1" t="str">
        <f>IFERROR(__xludf.DUMMYFUNCTION("GOOGLETRANSLATE(C1352, ""zh-CN"", ""en"")"),"Xingtai city")</f>
        <v>Xingtai city</v>
      </c>
      <c r="E1352" s="1" t="s">
        <v>1243</v>
      </c>
      <c r="F1352" s="1" t="str">
        <f>IFERROR(__xludf.DUMMYFUNCTION("GOOGLETRANSLATE(E1352, ""zh-CN"", ""en"")"),"Shahe City")</f>
        <v>Shahe City</v>
      </c>
      <c r="G1352" s="1">
        <v>1.30582E11</v>
      </c>
    </row>
    <row r="1353">
      <c r="A1353" s="1" t="s">
        <v>1142</v>
      </c>
      <c r="B1353" s="1" t="str">
        <f>IFERROR(__xludf.DUMMYFUNCTION("GOOGLETRANSLATE(A1279, ""zh-CN"", ""en"")"),"Hebei Province")</f>
        <v>Hebei Province</v>
      </c>
      <c r="C1353" s="1" t="s">
        <v>1148</v>
      </c>
      <c r="D1353" s="1" t="str">
        <f>IFERROR(__xludf.DUMMYFUNCTION("GOOGLETRANSLATE(C1353, ""zh-CN"", ""en"")"),"Baoding City")</f>
        <v>Baoding City</v>
      </c>
      <c r="E1353" s="1" t="s">
        <v>24</v>
      </c>
      <c r="F1353" s="1" t="str">
        <f>IFERROR(__xludf.DUMMYFUNCTION("GOOGLETRANSLATE(E1353, ""zh-CN"", ""en"")"),"City area")</f>
        <v>City area</v>
      </c>
      <c r="G1353" s="1">
        <v>1.30601E11</v>
      </c>
    </row>
    <row r="1354">
      <c r="A1354" s="1" t="s">
        <v>1142</v>
      </c>
      <c r="B1354" s="1" t="str">
        <f>IFERROR(__xludf.DUMMYFUNCTION("GOOGLETRANSLATE(A1280, ""zh-CN"", ""en"")"),"Hebei Province")</f>
        <v>Hebei Province</v>
      </c>
      <c r="C1354" s="1" t="s">
        <v>1148</v>
      </c>
      <c r="D1354" s="1" t="str">
        <f>IFERROR(__xludf.DUMMYFUNCTION("GOOGLETRANSLATE(C1354, ""zh-CN"", ""en"")"),"Baoding City")</f>
        <v>Baoding City</v>
      </c>
      <c r="E1354" s="1" t="s">
        <v>1244</v>
      </c>
      <c r="F1354" s="1" t="str">
        <f>IFERROR(__xludf.DUMMYFUNCTION("GOOGLETRANSLATE(E1354, ""zh-CN"", ""en"")"),"Competing area")</f>
        <v>Competing area</v>
      </c>
      <c r="G1354" s="1">
        <v>1.30602E11</v>
      </c>
    </row>
    <row r="1355">
      <c r="A1355" s="1" t="s">
        <v>1142</v>
      </c>
      <c r="B1355" s="1" t="str">
        <f>IFERROR(__xludf.DUMMYFUNCTION("GOOGLETRANSLATE(A1281, ""zh-CN"", ""en"")"),"Hebei Province")</f>
        <v>Hebei Province</v>
      </c>
      <c r="C1355" s="1" t="s">
        <v>1148</v>
      </c>
      <c r="D1355" s="1" t="str">
        <f>IFERROR(__xludf.DUMMYFUNCTION("GOOGLETRANSLATE(C1355, ""zh-CN"", ""en"")"),"Baoding City")</f>
        <v>Baoding City</v>
      </c>
      <c r="E1355" s="1" t="s">
        <v>1245</v>
      </c>
      <c r="F1355" s="1" t="str">
        <f>IFERROR(__xludf.DUMMYFUNCTION("GOOGLETRANSLATE(E1355, ""zh-CN"", ""en"")"),"Lianchi District")</f>
        <v>Lianchi District</v>
      </c>
      <c r="G1355" s="1">
        <v>1.30606E11</v>
      </c>
    </row>
    <row r="1356">
      <c r="A1356" s="1" t="s">
        <v>1142</v>
      </c>
      <c r="B1356" s="1" t="str">
        <f>IFERROR(__xludf.DUMMYFUNCTION("GOOGLETRANSLATE(A1282, ""zh-CN"", ""en"")"),"Hebei Province")</f>
        <v>Hebei Province</v>
      </c>
      <c r="C1356" s="1" t="s">
        <v>1148</v>
      </c>
      <c r="D1356" s="1" t="str">
        <f>IFERROR(__xludf.DUMMYFUNCTION("GOOGLETRANSLATE(C1356, ""zh-CN"", ""en"")"),"Baoding City")</f>
        <v>Baoding City</v>
      </c>
      <c r="E1356" s="1" t="s">
        <v>1246</v>
      </c>
      <c r="F1356" s="1" t="str">
        <f>IFERROR(__xludf.DUMMYFUNCTION("GOOGLETRANSLATE(E1356, ""zh-CN"", ""en"")"),"Full area")</f>
        <v>Full area</v>
      </c>
      <c r="G1356" s="1">
        <v>1.30607E11</v>
      </c>
    </row>
    <row r="1357">
      <c r="A1357" s="1" t="s">
        <v>1142</v>
      </c>
      <c r="B1357" s="1" t="str">
        <f>IFERROR(__xludf.DUMMYFUNCTION("GOOGLETRANSLATE(A1283, ""zh-CN"", ""en"")"),"Hebei Province")</f>
        <v>Hebei Province</v>
      </c>
      <c r="C1357" s="1" t="s">
        <v>1148</v>
      </c>
      <c r="D1357" s="1" t="str">
        <f>IFERROR(__xludf.DUMMYFUNCTION("GOOGLETRANSLATE(C1357, ""zh-CN"", ""en"")"),"Baoding City")</f>
        <v>Baoding City</v>
      </c>
      <c r="E1357" s="1" t="s">
        <v>1247</v>
      </c>
      <c r="F1357" s="1" t="str">
        <f>IFERROR(__xludf.DUMMYFUNCTION("GOOGLETRANSLATE(E1357, ""zh-CN"", ""en"")"),"Qingyuan District")</f>
        <v>Qingyuan District</v>
      </c>
      <c r="G1357" s="1">
        <v>1.30608E11</v>
      </c>
    </row>
    <row r="1358">
      <c r="A1358" s="1" t="s">
        <v>1142</v>
      </c>
      <c r="B1358" s="1" t="str">
        <f>IFERROR(__xludf.DUMMYFUNCTION("GOOGLETRANSLATE(A1284, ""zh-CN"", ""en"")"),"Hebei Province")</f>
        <v>Hebei Province</v>
      </c>
      <c r="C1358" s="1" t="s">
        <v>1148</v>
      </c>
      <c r="D1358" s="1" t="str">
        <f>IFERROR(__xludf.DUMMYFUNCTION("GOOGLETRANSLATE(C1358, ""zh-CN"", ""en"")"),"Baoding City")</f>
        <v>Baoding City</v>
      </c>
      <c r="E1358" s="1" t="s">
        <v>1248</v>
      </c>
      <c r="F1358" s="1" t="str">
        <f>IFERROR(__xludf.DUMMYFUNCTION("GOOGLETRANSLATE(E1358, ""zh-CN"", ""en"")"),"Xushui District")</f>
        <v>Xushui District</v>
      </c>
      <c r="G1358" s="1">
        <v>1.30609E11</v>
      </c>
    </row>
    <row r="1359">
      <c r="A1359" s="1" t="s">
        <v>1142</v>
      </c>
      <c r="B1359" s="1" t="str">
        <f>IFERROR(__xludf.DUMMYFUNCTION("GOOGLETRANSLATE(A1285, ""zh-CN"", ""en"")"),"Hebei Province")</f>
        <v>Hebei Province</v>
      </c>
      <c r="C1359" s="1" t="s">
        <v>1148</v>
      </c>
      <c r="D1359" s="1" t="str">
        <f>IFERROR(__xludf.DUMMYFUNCTION("GOOGLETRANSLATE(C1359, ""zh-CN"", ""en"")"),"Baoding City")</f>
        <v>Baoding City</v>
      </c>
      <c r="E1359" s="1" t="s">
        <v>1249</v>
      </c>
      <c r="F1359" s="1" t="str">
        <f>IFERROR(__xludf.DUMMYFUNCTION("GOOGLETRANSLATE(E1359, ""zh-CN"", ""en"")"),"Lishui County")</f>
        <v>Lishui County</v>
      </c>
      <c r="G1359" s="1">
        <v>1.30623E11</v>
      </c>
    </row>
    <row r="1360">
      <c r="A1360" s="1" t="s">
        <v>1142</v>
      </c>
      <c r="B1360" s="1" t="str">
        <f>IFERROR(__xludf.DUMMYFUNCTION("GOOGLETRANSLATE(A1286, ""zh-CN"", ""en"")"),"Hebei Province")</f>
        <v>Hebei Province</v>
      </c>
      <c r="C1360" s="1" t="s">
        <v>1148</v>
      </c>
      <c r="D1360" s="1" t="str">
        <f>IFERROR(__xludf.DUMMYFUNCTION("GOOGLETRANSLATE(C1360, ""zh-CN"", ""en"")"),"Baoding City")</f>
        <v>Baoding City</v>
      </c>
      <c r="E1360" s="1" t="s">
        <v>1250</v>
      </c>
      <c r="F1360" s="1" t="str">
        <f>IFERROR(__xludf.DUMMYFUNCTION("GOOGLETRANSLATE(E1360, ""zh-CN"", ""en"")"),"Fuping County")</f>
        <v>Fuping County</v>
      </c>
      <c r="G1360" s="1">
        <v>1.30624E11</v>
      </c>
    </row>
    <row r="1361">
      <c r="A1361" s="1" t="s">
        <v>1142</v>
      </c>
      <c r="B1361" s="1" t="str">
        <f>IFERROR(__xludf.DUMMYFUNCTION("GOOGLETRANSLATE(A1287, ""zh-CN"", ""en"")"),"Hebei Province")</f>
        <v>Hebei Province</v>
      </c>
      <c r="C1361" s="1" t="s">
        <v>1148</v>
      </c>
      <c r="D1361" s="1" t="str">
        <f>IFERROR(__xludf.DUMMYFUNCTION("GOOGLETRANSLATE(C1361, ""zh-CN"", ""en"")"),"Baoding City")</f>
        <v>Baoding City</v>
      </c>
      <c r="E1361" s="1" t="s">
        <v>1251</v>
      </c>
      <c r="F1361" s="1" t="str">
        <f>IFERROR(__xludf.DUMMYFUNCTION("GOOGLETRANSLATE(E1361, ""zh-CN"", ""en"")"),"Dingxing County")</f>
        <v>Dingxing County</v>
      </c>
      <c r="G1361" s="1">
        <v>1.30626E11</v>
      </c>
    </row>
    <row r="1362">
      <c r="A1362" s="1" t="s">
        <v>1142</v>
      </c>
      <c r="B1362" s="1" t="str">
        <f>IFERROR(__xludf.DUMMYFUNCTION("GOOGLETRANSLATE(A1288, ""zh-CN"", ""en"")"),"Hebei Province")</f>
        <v>Hebei Province</v>
      </c>
      <c r="C1362" s="1" t="s">
        <v>1148</v>
      </c>
      <c r="D1362" s="1" t="str">
        <f>IFERROR(__xludf.DUMMYFUNCTION("GOOGLETRANSLATE(C1362, ""zh-CN"", ""en"")"),"Baoding City")</f>
        <v>Baoding City</v>
      </c>
      <c r="E1362" s="1" t="s">
        <v>1252</v>
      </c>
      <c r="F1362" s="1" t="str">
        <f>IFERROR(__xludf.DUMMYFUNCTION("GOOGLETRANSLATE(E1362, ""zh-CN"", ""en"")"),"Tangxian")</f>
        <v>Tangxian</v>
      </c>
      <c r="G1362" s="1">
        <v>1.30627E11</v>
      </c>
    </row>
    <row r="1363">
      <c r="A1363" s="1" t="s">
        <v>1142</v>
      </c>
      <c r="B1363" s="1" t="str">
        <f>IFERROR(__xludf.DUMMYFUNCTION("GOOGLETRANSLATE(A1289, ""zh-CN"", ""en"")"),"Hebei Province")</f>
        <v>Hebei Province</v>
      </c>
      <c r="C1363" s="1" t="s">
        <v>1148</v>
      </c>
      <c r="D1363" s="1" t="str">
        <f>IFERROR(__xludf.DUMMYFUNCTION("GOOGLETRANSLATE(C1363, ""zh-CN"", ""en"")"),"Baoding City")</f>
        <v>Baoding City</v>
      </c>
      <c r="E1363" s="1" t="s">
        <v>1253</v>
      </c>
      <c r="F1363" s="1" t="str">
        <f>IFERROR(__xludf.DUMMYFUNCTION("GOOGLETRANSLATE(E1363, ""zh-CN"", ""en"")"),"Gaoyang County")</f>
        <v>Gaoyang County</v>
      </c>
      <c r="G1363" s="1">
        <v>1.30628E11</v>
      </c>
    </row>
    <row r="1364">
      <c r="A1364" s="1" t="s">
        <v>1142</v>
      </c>
      <c r="B1364" s="1" t="str">
        <f>IFERROR(__xludf.DUMMYFUNCTION("GOOGLETRANSLATE(A1290, ""zh-CN"", ""en"")"),"Hebei Province")</f>
        <v>Hebei Province</v>
      </c>
      <c r="C1364" s="1" t="s">
        <v>1148</v>
      </c>
      <c r="D1364" s="1" t="str">
        <f>IFERROR(__xludf.DUMMYFUNCTION("GOOGLETRANSLATE(C1364, ""zh-CN"", ""en"")"),"Baoding City")</f>
        <v>Baoding City</v>
      </c>
      <c r="E1364" s="1" t="s">
        <v>1254</v>
      </c>
      <c r="F1364" s="1" t="str">
        <f>IFERROR(__xludf.DUMMYFUNCTION("GOOGLETRANSLATE(E1364, ""zh-CN"", ""en"")"),"Rongcheng County")</f>
        <v>Rongcheng County</v>
      </c>
      <c r="G1364" s="1">
        <v>1.30629E11</v>
      </c>
    </row>
    <row r="1365">
      <c r="A1365" s="1" t="s">
        <v>1142</v>
      </c>
      <c r="B1365" s="1" t="str">
        <f>IFERROR(__xludf.DUMMYFUNCTION("GOOGLETRANSLATE(A1291, ""zh-CN"", ""en"")"),"Hebei Province")</f>
        <v>Hebei Province</v>
      </c>
      <c r="C1365" s="1" t="s">
        <v>1148</v>
      </c>
      <c r="D1365" s="1" t="str">
        <f>IFERROR(__xludf.DUMMYFUNCTION("GOOGLETRANSLATE(C1365, ""zh-CN"", ""en"")"),"Baoding City")</f>
        <v>Baoding City</v>
      </c>
      <c r="E1365" s="1" t="s">
        <v>1255</v>
      </c>
      <c r="F1365" s="1" t="str">
        <f>IFERROR(__xludf.DUMMYFUNCTION("GOOGLETRANSLATE(E1365, ""zh-CN"", ""en"")"),"Yiyuan County")</f>
        <v>Yiyuan County</v>
      </c>
      <c r="G1365" s="1">
        <v>1.3063E11</v>
      </c>
    </row>
    <row r="1366">
      <c r="A1366" s="1" t="s">
        <v>1142</v>
      </c>
      <c r="B1366" s="1" t="str">
        <f>IFERROR(__xludf.DUMMYFUNCTION("GOOGLETRANSLATE(A1292, ""zh-CN"", ""en"")"),"Hebei Province")</f>
        <v>Hebei Province</v>
      </c>
      <c r="C1366" s="1" t="s">
        <v>1148</v>
      </c>
      <c r="D1366" s="1" t="str">
        <f>IFERROR(__xludf.DUMMYFUNCTION("GOOGLETRANSLATE(C1366, ""zh-CN"", ""en"")"),"Baoding City")</f>
        <v>Baoding City</v>
      </c>
      <c r="E1366" s="1" t="s">
        <v>1256</v>
      </c>
      <c r="F1366" s="1" t="str">
        <f>IFERROR(__xludf.DUMMYFUNCTION("GOOGLETRANSLATE(E1366, ""zh-CN"", ""en"")"),"Wangdu County")</f>
        <v>Wangdu County</v>
      </c>
      <c r="G1366" s="1">
        <v>1.30631E11</v>
      </c>
    </row>
    <row r="1367">
      <c r="A1367" s="1" t="s">
        <v>1142</v>
      </c>
      <c r="B1367" s="1" t="str">
        <f>IFERROR(__xludf.DUMMYFUNCTION("GOOGLETRANSLATE(A1293, ""zh-CN"", ""en"")"),"Hebei Province")</f>
        <v>Hebei Province</v>
      </c>
      <c r="C1367" s="1" t="s">
        <v>1148</v>
      </c>
      <c r="D1367" s="1" t="str">
        <f>IFERROR(__xludf.DUMMYFUNCTION("GOOGLETRANSLATE(C1367, ""zh-CN"", ""en"")"),"Baoding City")</f>
        <v>Baoding City</v>
      </c>
      <c r="E1367" s="1" t="s">
        <v>1257</v>
      </c>
      <c r="F1367" s="1" t="str">
        <f>IFERROR(__xludf.DUMMYFUNCTION("GOOGLETRANSLATE(E1367, ""zh-CN"", ""en"")"),"Anxin County")</f>
        <v>Anxin County</v>
      </c>
      <c r="G1367" s="1">
        <v>1.30632E11</v>
      </c>
    </row>
    <row r="1368">
      <c r="A1368" s="1" t="s">
        <v>1142</v>
      </c>
      <c r="B1368" s="1" t="str">
        <f>IFERROR(__xludf.DUMMYFUNCTION("GOOGLETRANSLATE(A1294, ""zh-CN"", ""en"")"),"Hebei Province")</f>
        <v>Hebei Province</v>
      </c>
      <c r="C1368" s="1" t="s">
        <v>1148</v>
      </c>
      <c r="D1368" s="1" t="str">
        <f>IFERROR(__xludf.DUMMYFUNCTION("GOOGLETRANSLATE(C1368, ""zh-CN"", ""en"")"),"Baoding City")</f>
        <v>Baoding City</v>
      </c>
      <c r="E1368" s="1" t="s">
        <v>1258</v>
      </c>
      <c r="F1368" s="1" t="str">
        <f>IFERROR(__xludf.DUMMYFUNCTION("GOOGLETRANSLATE(E1368, ""zh-CN"", ""en"")"),"Yixian")</f>
        <v>Yixian</v>
      </c>
      <c r="G1368" s="1">
        <v>1.30633E11</v>
      </c>
    </row>
    <row r="1369">
      <c r="A1369" s="1" t="s">
        <v>1142</v>
      </c>
      <c r="B1369" s="1" t="str">
        <f>IFERROR(__xludf.DUMMYFUNCTION("GOOGLETRANSLATE(A1295, ""zh-CN"", ""en"")"),"Hebei Province")</f>
        <v>Hebei Province</v>
      </c>
      <c r="C1369" s="1" t="s">
        <v>1148</v>
      </c>
      <c r="D1369" s="1" t="str">
        <f>IFERROR(__xludf.DUMMYFUNCTION("GOOGLETRANSLATE(C1369, ""zh-CN"", ""en"")"),"Baoding City")</f>
        <v>Baoding City</v>
      </c>
      <c r="E1369" s="1" t="s">
        <v>1259</v>
      </c>
      <c r="F1369" s="1" t="str">
        <f>IFERROR(__xludf.DUMMYFUNCTION("GOOGLETRANSLATE(E1369, ""zh-CN"", ""en"")"),"Quyang County")</f>
        <v>Quyang County</v>
      </c>
      <c r="G1369" s="1">
        <v>1.30634E11</v>
      </c>
    </row>
    <row r="1370">
      <c r="A1370" s="1" t="s">
        <v>1142</v>
      </c>
      <c r="B1370" s="1" t="str">
        <f>IFERROR(__xludf.DUMMYFUNCTION("GOOGLETRANSLATE(A1296, ""zh-CN"", ""en"")"),"Hebei Province")</f>
        <v>Hebei Province</v>
      </c>
      <c r="C1370" s="1" t="s">
        <v>1148</v>
      </c>
      <c r="D1370" s="1" t="str">
        <f>IFERROR(__xludf.DUMMYFUNCTION("GOOGLETRANSLATE(C1370, ""zh-CN"", ""en"")"),"Baoding City")</f>
        <v>Baoding City</v>
      </c>
      <c r="E1370" s="1" t="s">
        <v>1260</v>
      </c>
      <c r="F1370" s="1" t="str">
        <f>IFERROR(__xludf.DUMMYFUNCTION("GOOGLETRANSLATE(E1370, ""zh-CN"", ""en"")"),"Li County")</f>
        <v>Li County</v>
      </c>
      <c r="G1370" s="1">
        <v>1.30635E11</v>
      </c>
    </row>
    <row r="1371">
      <c r="A1371" s="1" t="s">
        <v>1142</v>
      </c>
      <c r="B1371" s="1" t="str">
        <f>IFERROR(__xludf.DUMMYFUNCTION("GOOGLETRANSLATE(A1297, ""zh-CN"", ""en"")"),"Hebei Province")</f>
        <v>Hebei Province</v>
      </c>
      <c r="C1371" s="1" t="s">
        <v>1148</v>
      </c>
      <c r="D1371" s="1" t="str">
        <f>IFERROR(__xludf.DUMMYFUNCTION("GOOGLETRANSLATE(C1371, ""zh-CN"", ""en"")"),"Baoding City")</f>
        <v>Baoding City</v>
      </c>
      <c r="E1371" s="1" t="s">
        <v>1261</v>
      </c>
      <c r="F1371" s="1" t="str">
        <f>IFERROR(__xludf.DUMMYFUNCTION("GOOGLETRANSLATE(E1371, ""zh-CN"", ""en"")"),"Shunping County")</f>
        <v>Shunping County</v>
      </c>
      <c r="G1371" s="1">
        <v>1.30636E11</v>
      </c>
    </row>
    <row r="1372">
      <c r="A1372" s="1" t="s">
        <v>1142</v>
      </c>
      <c r="B1372" s="1" t="str">
        <f>IFERROR(__xludf.DUMMYFUNCTION("GOOGLETRANSLATE(A1298, ""zh-CN"", ""en"")"),"Hebei Province")</f>
        <v>Hebei Province</v>
      </c>
      <c r="C1372" s="1" t="s">
        <v>1148</v>
      </c>
      <c r="D1372" s="1" t="str">
        <f>IFERROR(__xludf.DUMMYFUNCTION("GOOGLETRANSLATE(C1372, ""zh-CN"", ""en"")"),"Baoding City")</f>
        <v>Baoding City</v>
      </c>
      <c r="E1372" s="1" t="s">
        <v>1262</v>
      </c>
      <c r="F1372" s="1" t="str">
        <f>IFERROR(__xludf.DUMMYFUNCTION("GOOGLETRANSLATE(E1372, ""zh-CN"", ""en"")"),"Bono County")</f>
        <v>Bono County</v>
      </c>
      <c r="G1372" s="1">
        <v>1.30637E11</v>
      </c>
    </row>
    <row r="1373">
      <c r="A1373" s="1" t="s">
        <v>1142</v>
      </c>
      <c r="B1373" s="1" t="str">
        <f>IFERROR(__xludf.DUMMYFUNCTION("GOOGLETRANSLATE(A1299, ""zh-CN"", ""en"")"),"Hebei Province")</f>
        <v>Hebei Province</v>
      </c>
      <c r="C1373" s="1" t="s">
        <v>1148</v>
      </c>
      <c r="D1373" s="1" t="str">
        <f>IFERROR(__xludf.DUMMYFUNCTION("GOOGLETRANSLATE(C1373, ""zh-CN"", ""en"")"),"Baoding City")</f>
        <v>Baoding City</v>
      </c>
      <c r="E1373" s="1" t="s">
        <v>1263</v>
      </c>
      <c r="F1373" s="1" t="str">
        <f>IFERROR(__xludf.DUMMYFUNCTION("GOOGLETRANSLATE(E1373, ""zh-CN"", ""en"")"),"County")</f>
        <v>County</v>
      </c>
      <c r="G1373" s="1">
        <v>1.30638E11</v>
      </c>
    </row>
    <row r="1374">
      <c r="A1374" s="1" t="s">
        <v>1142</v>
      </c>
      <c r="B1374" s="1" t="str">
        <f>IFERROR(__xludf.DUMMYFUNCTION("GOOGLETRANSLATE(A1300, ""zh-CN"", ""en"")"),"Hebei Province")</f>
        <v>Hebei Province</v>
      </c>
      <c r="C1374" s="1" t="s">
        <v>1148</v>
      </c>
      <c r="D1374" s="1" t="str">
        <f>IFERROR(__xludf.DUMMYFUNCTION("GOOGLETRANSLATE(C1374, ""zh-CN"", ""en"")"),"Baoding City")</f>
        <v>Baoding City</v>
      </c>
      <c r="E1374" s="1" t="s">
        <v>1264</v>
      </c>
      <c r="F1374" s="1" t="str">
        <f>IFERROR(__xludf.DUMMYFUNCTION("GOOGLETRANSLATE(E1374, ""zh-CN"", ""en"")"),"Baoding High -tech Industrial Development Zone")</f>
        <v>Baoding High -tech Industrial Development Zone</v>
      </c>
      <c r="G1374" s="1">
        <v>1.30671E11</v>
      </c>
    </row>
    <row r="1375">
      <c r="A1375" s="1" t="s">
        <v>1142</v>
      </c>
      <c r="B1375" s="1" t="str">
        <f>IFERROR(__xludf.DUMMYFUNCTION("GOOGLETRANSLATE(A1301, ""zh-CN"", ""en"")"),"Hebei Province")</f>
        <v>Hebei Province</v>
      </c>
      <c r="C1375" s="1" t="s">
        <v>1148</v>
      </c>
      <c r="D1375" s="1" t="str">
        <f>IFERROR(__xludf.DUMMYFUNCTION("GOOGLETRANSLATE(C1375, ""zh-CN"", ""en"")"),"Baoding City")</f>
        <v>Baoding City</v>
      </c>
      <c r="E1375" s="1" t="s">
        <v>1265</v>
      </c>
      <c r="F1375" s="1" t="str">
        <f>IFERROR(__xludf.DUMMYFUNCTION("GOOGLETRANSLATE(E1375, ""zh-CN"", ""en"")"),"Baoding Baigou New City")</f>
        <v>Baoding Baigou New City</v>
      </c>
      <c r="G1375" s="1">
        <v>1.30672E11</v>
      </c>
    </row>
    <row r="1376">
      <c r="A1376" s="1" t="s">
        <v>1142</v>
      </c>
      <c r="B1376" s="1" t="str">
        <f>IFERROR(__xludf.DUMMYFUNCTION("GOOGLETRANSLATE(A1302, ""zh-CN"", ""en"")"),"Hebei Province")</f>
        <v>Hebei Province</v>
      </c>
      <c r="C1376" s="1" t="s">
        <v>1148</v>
      </c>
      <c r="D1376" s="1" t="str">
        <f>IFERROR(__xludf.DUMMYFUNCTION("GOOGLETRANSLATE(C1376, ""zh-CN"", ""en"")"),"Baoding City")</f>
        <v>Baoding City</v>
      </c>
      <c r="E1376" s="1" t="s">
        <v>1266</v>
      </c>
      <c r="F1376" s="1" t="str">
        <f>IFERROR(__xludf.DUMMYFUNCTION("GOOGLETRANSLATE(E1376, ""zh-CN"", ""en"")"),"Dazhou City")</f>
        <v>Dazhou City</v>
      </c>
      <c r="G1376" s="1">
        <v>1.30681E11</v>
      </c>
    </row>
    <row r="1377">
      <c r="A1377" s="1" t="s">
        <v>1142</v>
      </c>
      <c r="B1377" s="1" t="str">
        <f>IFERROR(__xludf.DUMMYFUNCTION("GOOGLETRANSLATE(A1303, ""zh-CN"", ""en"")"),"Hebei Province")</f>
        <v>Hebei Province</v>
      </c>
      <c r="C1377" s="1" t="s">
        <v>1148</v>
      </c>
      <c r="D1377" s="1" t="str">
        <f>IFERROR(__xludf.DUMMYFUNCTION("GOOGLETRANSLATE(C1377, ""zh-CN"", ""en"")"),"Baoding City")</f>
        <v>Baoding City</v>
      </c>
      <c r="E1377" s="1" t="s">
        <v>1267</v>
      </c>
      <c r="F1377" s="1" t="str">
        <f>IFERROR(__xludf.DUMMYFUNCTION("GOOGLETRANSLATE(E1377, ""zh-CN"", ""en"")"),"Dingzhou")</f>
        <v>Dingzhou</v>
      </c>
      <c r="G1377" s="1">
        <v>1.30682E11</v>
      </c>
    </row>
    <row r="1378">
      <c r="A1378" s="1" t="s">
        <v>1142</v>
      </c>
      <c r="B1378" s="1" t="str">
        <f>IFERROR(__xludf.DUMMYFUNCTION("GOOGLETRANSLATE(A1304, ""zh-CN"", ""en"")"),"Hebei Province")</f>
        <v>Hebei Province</v>
      </c>
      <c r="C1378" s="1" t="s">
        <v>1148</v>
      </c>
      <c r="D1378" s="1" t="str">
        <f>IFERROR(__xludf.DUMMYFUNCTION("GOOGLETRANSLATE(C1378, ""zh-CN"", ""en"")"),"Baoding City")</f>
        <v>Baoding City</v>
      </c>
      <c r="E1378" s="1" t="s">
        <v>1268</v>
      </c>
      <c r="F1378" s="1" t="str">
        <f>IFERROR(__xludf.DUMMYFUNCTION("GOOGLETRANSLATE(E1378, ""zh-CN"", ""en"")"),"Anguo")</f>
        <v>Anguo</v>
      </c>
      <c r="G1378" s="1">
        <v>1.30683E11</v>
      </c>
    </row>
    <row r="1379">
      <c r="A1379" s="1" t="s">
        <v>1142</v>
      </c>
      <c r="B1379" s="1" t="str">
        <f>IFERROR(__xludf.DUMMYFUNCTION("GOOGLETRANSLATE(A1305, ""zh-CN"", ""en"")"),"Hebei Province")</f>
        <v>Hebei Province</v>
      </c>
      <c r="C1379" s="1" t="s">
        <v>1148</v>
      </c>
      <c r="D1379" s="1" t="str">
        <f>IFERROR(__xludf.DUMMYFUNCTION("GOOGLETRANSLATE(C1379, ""zh-CN"", ""en"")"),"Baoding City")</f>
        <v>Baoding City</v>
      </c>
      <c r="E1379" s="1" t="s">
        <v>1269</v>
      </c>
      <c r="F1379" s="1" t="str">
        <f>IFERROR(__xludf.DUMMYFUNCTION("GOOGLETRANSLATE(E1379, ""zh-CN"", ""en"")"),"Gaobeidian City")</f>
        <v>Gaobeidian City</v>
      </c>
      <c r="G1379" s="1">
        <v>1.30684E11</v>
      </c>
    </row>
    <row r="1380">
      <c r="A1380" s="1" t="s">
        <v>1142</v>
      </c>
      <c r="B1380" s="1" t="str">
        <f>IFERROR(__xludf.DUMMYFUNCTION("GOOGLETRANSLATE(A1306, ""zh-CN"", ""en"")"),"Hebei Province")</f>
        <v>Hebei Province</v>
      </c>
      <c r="C1380" s="1" t="s">
        <v>1149</v>
      </c>
      <c r="D1380" s="1" t="str">
        <f>IFERROR(__xludf.DUMMYFUNCTION("GOOGLETRANSLATE(C1380, ""zh-CN"", ""en"")"),"Zhangjiakou City")</f>
        <v>Zhangjiakou City</v>
      </c>
      <c r="E1380" s="1" t="s">
        <v>24</v>
      </c>
      <c r="F1380" s="1" t="str">
        <f>IFERROR(__xludf.DUMMYFUNCTION("GOOGLETRANSLATE(E1380, ""zh-CN"", ""en"")"),"City area")</f>
        <v>City area</v>
      </c>
      <c r="G1380" s="1">
        <v>1.30701E11</v>
      </c>
    </row>
    <row r="1381">
      <c r="A1381" s="1" t="s">
        <v>1142</v>
      </c>
      <c r="B1381" s="1" t="str">
        <f>IFERROR(__xludf.DUMMYFUNCTION("GOOGLETRANSLATE(A1307, ""zh-CN"", ""en"")"),"Hebei Province")</f>
        <v>Hebei Province</v>
      </c>
      <c r="C1381" s="1" t="s">
        <v>1149</v>
      </c>
      <c r="D1381" s="1" t="str">
        <f>IFERROR(__xludf.DUMMYFUNCTION("GOOGLETRANSLATE(C1381, ""zh-CN"", ""en"")"),"Zhangjiakou City")</f>
        <v>Zhangjiakou City</v>
      </c>
      <c r="E1381" s="1" t="s">
        <v>1270</v>
      </c>
      <c r="F1381" s="1" t="str">
        <f>IFERROR(__xludf.DUMMYFUNCTION("GOOGLETRANSLATE(E1381, ""zh-CN"", ""en"")"),"Bridge East District")</f>
        <v>Bridge East District</v>
      </c>
      <c r="G1381" s="1">
        <v>1.30702E11</v>
      </c>
    </row>
    <row r="1382">
      <c r="A1382" s="1" t="s">
        <v>1142</v>
      </c>
      <c r="B1382" s="1" t="str">
        <f>IFERROR(__xludf.DUMMYFUNCTION("GOOGLETRANSLATE(A1308, ""zh-CN"", ""en"")"),"Hebei Province")</f>
        <v>Hebei Province</v>
      </c>
      <c r="C1382" s="1" t="s">
        <v>1149</v>
      </c>
      <c r="D1382" s="1" t="str">
        <f>IFERROR(__xludf.DUMMYFUNCTION("GOOGLETRANSLATE(C1382, ""zh-CN"", ""en"")"),"Zhangjiakou City")</f>
        <v>Zhangjiakou City</v>
      </c>
      <c r="E1382" s="1" t="s">
        <v>1155</v>
      </c>
      <c r="F1382" s="1" t="str">
        <f>IFERROR(__xludf.DUMMYFUNCTION("GOOGLETRANSLATE(E1382, ""zh-CN"", ""en"")"),"Qiaoxi District")</f>
        <v>Qiaoxi District</v>
      </c>
      <c r="G1382" s="1">
        <v>1.30703E11</v>
      </c>
    </row>
    <row r="1383">
      <c r="A1383" s="1" t="s">
        <v>1142</v>
      </c>
      <c r="B1383" s="1" t="str">
        <f>IFERROR(__xludf.DUMMYFUNCTION("GOOGLETRANSLATE(A1309, ""zh-CN"", ""en"")"),"Hebei Province")</f>
        <v>Hebei Province</v>
      </c>
      <c r="C1383" s="1" t="s">
        <v>1149</v>
      </c>
      <c r="D1383" s="1" t="str">
        <f>IFERROR(__xludf.DUMMYFUNCTION("GOOGLETRANSLATE(C1383, ""zh-CN"", ""en"")"),"Zhangjiakou City")</f>
        <v>Zhangjiakou City</v>
      </c>
      <c r="E1383" s="1" t="s">
        <v>1271</v>
      </c>
      <c r="F1383" s="1" t="str">
        <f>IFERROR(__xludf.DUMMYFUNCTION("GOOGLETRANSLATE(E1383, ""zh-CN"", ""en"")"),"Xuanhua District")</f>
        <v>Xuanhua District</v>
      </c>
      <c r="G1383" s="1">
        <v>1.30705E11</v>
      </c>
    </row>
    <row r="1384">
      <c r="A1384" s="1" t="s">
        <v>1142</v>
      </c>
      <c r="B1384" s="1" t="str">
        <f>IFERROR(__xludf.DUMMYFUNCTION("GOOGLETRANSLATE(A1310, ""zh-CN"", ""en"")"),"Hebei Province")</f>
        <v>Hebei Province</v>
      </c>
      <c r="C1384" s="1" t="s">
        <v>1149</v>
      </c>
      <c r="D1384" s="1" t="str">
        <f>IFERROR(__xludf.DUMMYFUNCTION("GOOGLETRANSLATE(C1384, ""zh-CN"", ""en"")"),"Zhangjiakou City")</f>
        <v>Zhangjiakou City</v>
      </c>
      <c r="E1384" s="1" t="s">
        <v>1272</v>
      </c>
      <c r="F1384" s="1" t="str">
        <f>IFERROR(__xludf.DUMMYFUNCTION("GOOGLETRANSLATE(E1384, ""zh-CN"", ""en"")"),"Xiahua Park")</f>
        <v>Xiahua Park</v>
      </c>
      <c r="G1384" s="1">
        <v>1.30706E11</v>
      </c>
    </row>
    <row r="1385">
      <c r="A1385" s="1" t="s">
        <v>1142</v>
      </c>
      <c r="B1385" s="1" t="str">
        <f>IFERROR(__xludf.DUMMYFUNCTION("GOOGLETRANSLATE(A1311, ""zh-CN"", ""en"")"),"Hebei Province")</f>
        <v>Hebei Province</v>
      </c>
      <c r="C1385" s="1" t="s">
        <v>1149</v>
      </c>
      <c r="D1385" s="1" t="str">
        <f>IFERROR(__xludf.DUMMYFUNCTION("GOOGLETRANSLATE(C1385, ""zh-CN"", ""en"")"),"Zhangjiakou City")</f>
        <v>Zhangjiakou City</v>
      </c>
      <c r="E1385" s="1" t="s">
        <v>1273</v>
      </c>
      <c r="F1385" s="1" t="str">
        <f>IFERROR(__xludf.DUMMYFUNCTION("GOOGLETRANSLATE(E1385, ""zh-CN"", ""en"")"),"All district")</f>
        <v>All district</v>
      </c>
      <c r="G1385" s="1">
        <v>1.30708E11</v>
      </c>
    </row>
    <row r="1386">
      <c r="A1386" s="1" t="s">
        <v>1142</v>
      </c>
      <c r="B1386" s="1" t="str">
        <f>IFERROR(__xludf.DUMMYFUNCTION("GOOGLETRANSLATE(A1312, ""zh-CN"", ""en"")"),"Hebei Province")</f>
        <v>Hebei Province</v>
      </c>
      <c r="C1386" s="1" t="s">
        <v>1149</v>
      </c>
      <c r="D1386" s="1" t="str">
        <f>IFERROR(__xludf.DUMMYFUNCTION("GOOGLETRANSLATE(C1386, ""zh-CN"", ""en"")"),"Zhangjiakou City")</f>
        <v>Zhangjiakou City</v>
      </c>
      <c r="E1386" s="1" t="s">
        <v>1274</v>
      </c>
      <c r="F1386" s="1" t="str">
        <f>IFERROR(__xludf.DUMMYFUNCTION("GOOGLETRANSLATE(E1386, ""zh-CN"", ""en"")"),"Chongli District")</f>
        <v>Chongli District</v>
      </c>
      <c r="G1386" s="1">
        <v>1.30709E11</v>
      </c>
    </row>
    <row r="1387">
      <c r="A1387" s="1" t="s">
        <v>1142</v>
      </c>
      <c r="B1387" s="1" t="str">
        <f>IFERROR(__xludf.DUMMYFUNCTION("GOOGLETRANSLATE(A1313, ""zh-CN"", ""en"")"),"Hebei Province")</f>
        <v>Hebei Province</v>
      </c>
      <c r="C1387" s="1" t="s">
        <v>1149</v>
      </c>
      <c r="D1387" s="1" t="str">
        <f>IFERROR(__xludf.DUMMYFUNCTION("GOOGLETRANSLATE(C1387, ""zh-CN"", ""en"")"),"Zhangjiakou City")</f>
        <v>Zhangjiakou City</v>
      </c>
      <c r="E1387" s="1" t="s">
        <v>1275</v>
      </c>
      <c r="F1387" s="1" t="str">
        <f>IFERROR(__xludf.DUMMYFUNCTION("GOOGLETRANSLATE(E1387, ""zh-CN"", ""en"")"),"Zhangbei County")</f>
        <v>Zhangbei County</v>
      </c>
      <c r="G1387" s="1">
        <v>1.30722E11</v>
      </c>
    </row>
    <row r="1388">
      <c r="A1388" s="1" t="s">
        <v>1142</v>
      </c>
      <c r="B1388" s="1" t="str">
        <f>IFERROR(__xludf.DUMMYFUNCTION("GOOGLETRANSLATE(A1314, ""zh-CN"", ""en"")"),"Hebei Province")</f>
        <v>Hebei Province</v>
      </c>
      <c r="C1388" s="1" t="s">
        <v>1149</v>
      </c>
      <c r="D1388" s="1" t="str">
        <f>IFERROR(__xludf.DUMMYFUNCTION("GOOGLETRANSLATE(C1388, ""zh-CN"", ""en"")"),"Zhangjiakou City")</f>
        <v>Zhangjiakou City</v>
      </c>
      <c r="E1388" s="1" t="s">
        <v>1276</v>
      </c>
      <c r="F1388" s="1" t="str">
        <f>IFERROR(__xludf.DUMMYFUNCTION("GOOGLETRANSLATE(E1388, ""zh-CN"", ""en"")"),"Kangbao County")</f>
        <v>Kangbao County</v>
      </c>
      <c r="G1388" s="1">
        <v>1.30723E11</v>
      </c>
    </row>
    <row r="1389">
      <c r="A1389" s="1" t="s">
        <v>1142</v>
      </c>
      <c r="B1389" s="1" t="str">
        <f>IFERROR(__xludf.DUMMYFUNCTION("GOOGLETRANSLATE(A1315, ""zh-CN"", ""en"")"),"Hebei Province")</f>
        <v>Hebei Province</v>
      </c>
      <c r="C1389" s="1" t="s">
        <v>1149</v>
      </c>
      <c r="D1389" s="1" t="str">
        <f>IFERROR(__xludf.DUMMYFUNCTION("GOOGLETRANSLATE(C1389, ""zh-CN"", ""en"")"),"Zhangjiakou City")</f>
        <v>Zhangjiakou City</v>
      </c>
      <c r="E1389" s="1" t="s">
        <v>1277</v>
      </c>
      <c r="F1389" s="1" t="str">
        <f>IFERROR(__xludf.DUMMYFUNCTION("GOOGLETRANSLATE(E1389, ""zh-CN"", ""en"")"),"Guyuan County")</f>
        <v>Guyuan County</v>
      </c>
      <c r="G1389" s="1">
        <v>1.30724E11</v>
      </c>
    </row>
    <row r="1390">
      <c r="A1390" s="1" t="s">
        <v>1142</v>
      </c>
      <c r="B1390" s="1" t="str">
        <f>IFERROR(__xludf.DUMMYFUNCTION("GOOGLETRANSLATE(A1316, ""zh-CN"", ""en"")"),"Hebei Province")</f>
        <v>Hebei Province</v>
      </c>
      <c r="C1390" s="1" t="s">
        <v>1149</v>
      </c>
      <c r="D1390" s="1" t="str">
        <f>IFERROR(__xludf.DUMMYFUNCTION("GOOGLETRANSLATE(C1390, ""zh-CN"", ""en"")"),"Zhangjiakou City")</f>
        <v>Zhangjiakou City</v>
      </c>
      <c r="E1390" s="1" t="s">
        <v>1278</v>
      </c>
      <c r="F1390" s="1" t="str">
        <f>IFERROR(__xludf.DUMMYFUNCTION("GOOGLETRANSLATE(E1390, ""zh-CN"", ""en"")"),"Shangyi County")</f>
        <v>Shangyi County</v>
      </c>
      <c r="G1390" s="1">
        <v>1.30725E11</v>
      </c>
    </row>
    <row r="1391">
      <c r="A1391" s="1" t="s">
        <v>1142</v>
      </c>
      <c r="B1391" s="1" t="str">
        <f>IFERROR(__xludf.DUMMYFUNCTION("GOOGLETRANSLATE(A1317, ""zh-CN"", ""en"")"),"Hebei Province")</f>
        <v>Hebei Province</v>
      </c>
      <c r="C1391" s="1" t="s">
        <v>1149</v>
      </c>
      <c r="D1391" s="1" t="str">
        <f>IFERROR(__xludf.DUMMYFUNCTION("GOOGLETRANSLATE(C1391, ""zh-CN"", ""en"")"),"Zhangjiakou City")</f>
        <v>Zhangjiakou City</v>
      </c>
      <c r="E1391" s="1" t="s">
        <v>1279</v>
      </c>
      <c r="F1391" s="1" t="str">
        <f>IFERROR(__xludf.DUMMYFUNCTION("GOOGLETRANSLATE(E1391, ""zh-CN"", ""en"")"),"Wei County")</f>
        <v>Wei County</v>
      </c>
      <c r="G1391" s="1">
        <v>1.30726E11</v>
      </c>
    </row>
    <row r="1392">
      <c r="A1392" s="1" t="s">
        <v>1142</v>
      </c>
      <c r="B1392" s="1" t="str">
        <f>IFERROR(__xludf.DUMMYFUNCTION("GOOGLETRANSLATE(A1318, ""zh-CN"", ""en"")"),"Hebei Province")</f>
        <v>Hebei Province</v>
      </c>
      <c r="C1392" s="1" t="s">
        <v>1149</v>
      </c>
      <c r="D1392" s="1" t="str">
        <f>IFERROR(__xludf.DUMMYFUNCTION("GOOGLETRANSLATE(C1392, ""zh-CN"", ""en"")"),"Zhangjiakou City")</f>
        <v>Zhangjiakou City</v>
      </c>
      <c r="E1392" s="1" t="s">
        <v>1280</v>
      </c>
      <c r="F1392" s="1" t="str">
        <f>IFERROR(__xludf.DUMMYFUNCTION("GOOGLETRANSLATE(E1392, ""zh-CN"", ""en"")"),"Yangyuan County")</f>
        <v>Yangyuan County</v>
      </c>
      <c r="G1392" s="1">
        <v>1.30727E11</v>
      </c>
    </row>
    <row r="1393">
      <c r="A1393" s="1" t="s">
        <v>1142</v>
      </c>
      <c r="B1393" s="1" t="str">
        <f>IFERROR(__xludf.DUMMYFUNCTION("GOOGLETRANSLATE(A1319, ""zh-CN"", ""en"")"),"Hebei Province")</f>
        <v>Hebei Province</v>
      </c>
      <c r="C1393" s="1" t="s">
        <v>1149</v>
      </c>
      <c r="D1393" s="1" t="str">
        <f>IFERROR(__xludf.DUMMYFUNCTION("GOOGLETRANSLATE(C1393, ""zh-CN"", ""en"")"),"Zhangjiakou City")</f>
        <v>Zhangjiakou City</v>
      </c>
      <c r="E1393" s="1" t="s">
        <v>1281</v>
      </c>
      <c r="F1393" s="1" t="str">
        <f>IFERROR(__xludf.DUMMYFUNCTION("GOOGLETRANSLATE(E1393, ""zh-CN"", ""en"")"),"Huai'an County")</f>
        <v>Huai'an County</v>
      </c>
      <c r="G1393" s="1">
        <v>1.30728E11</v>
      </c>
    </row>
    <row r="1394">
      <c r="A1394" s="1" t="s">
        <v>1142</v>
      </c>
      <c r="B1394" s="1" t="str">
        <f>IFERROR(__xludf.DUMMYFUNCTION("GOOGLETRANSLATE(A1320, ""zh-CN"", ""en"")"),"Hebei Province")</f>
        <v>Hebei Province</v>
      </c>
      <c r="C1394" s="1" t="s">
        <v>1149</v>
      </c>
      <c r="D1394" s="1" t="str">
        <f>IFERROR(__xludf.DUMMYFUNCTION("GOOGLETRANSLATE(C1394, ""zh-CN"", ""en"")"),"Zhangjiakou City")</f>
        <v>Zhangjiakou City</v>
      </c>
      <c r="E1394" s="1" t="s">
        <v>1282</v>
      </c>
      <c r="F1394" s="1" t="str">
        <f>IFERROR(__xludf.DUMMYFUNCTION("GOOGLETRANSLATE(E1394, ""zh-CN"", ""en"")"),"Huailai County")</f>
        <v>Huailai County</v>
      </c>
      <c r="G1394" s="1">
        <v>1.3073E11</v>
      </c>
    </row>
    <row r="1395">
      <c r="A1395" s="1" t="s">
        <v>1142</v>
      </c>
      <c r="B1395" s="1" t="str">
        <f>IFERROR(__xludf.DUMMYFUNCTION("GOOGLETRANSLATE(A1321, ""zh-CN"", ""en"")"),"Hebei Province")</f>
        <v>Hebei Province</v>
      </c>
      <c r="C1395" s="1" t="s">
        <v>1149</v>
      </c>
      <c r="D1395" s="1" t="str">
        <f>IFERROR(__xludf.DUMMYFUNCTION("GOOGLETRANSLATE(C1395, ""zh-CN"", ""en"")"),"Zhangjiakou City")</f>
        <v>Zhangjiakou City</v>
      </c>
      <c r="E1395" s="1" t="s">
        <v>1283</v>
      </c>
      <c r="F1395" s="1" t="str">
        <f>IFERROR(__xludf.DUMMYFUNCTION("GOOGLETRANSLATE(E1395, ""zh-CN"", ""en"")"),"Lugu County")</f>
        <v>Lugu County</v>
      </c>
      <c r="G1395" s="1">
        <v>1.30731E11</v>
      </c>
    </row>
    <row r="1396">
      <c r="A1396" s="1" t="s">
        <v>1142</v>
      </c>
      <c r="B1396" s="1" t="str">
        <f>IFERROR(__xludf.DUMMYFUNCTION("GOOGLETRANSLATE(A1322, ""zh-CN"", ""en"")"),"Hebei Province")</f>
        <v>Hebei Province</v>
      </c>
      <c r="C1396" s="1" t="s">
        <v>1149</v>
      </c>
      <c r="D1396" s="1" t="str">
        <f>IFERROR(__xludf.DUMMYFUNCTION("GOOGLETRANSLATE(C1396, ""zh-CN"", ""en"")"),"Zhangjiakou City")</f>
        <v>Zhangjiakou City</v>
      </c>
      <c r="E1396" s="1" t="s">
        <v>1284</v>
      </c>
      <c r="F1396" s="1" t="str">
        <f>IFERROR(__xludf.DUMMYFUNCTION("GOOGLETRANSLATE(E1396, ""zh-CN"", ""en"")"),"Chicheng County")</f>
        <v>Chicheng County</v>
      </c>
      <c r="G1396" s="1">
        <v>1.30732E11</v>
      </c>
    </row>
    <row r="1397">
      <c r="A1397" s="1" t="s">
        <v>1142</v>
      </c>
      <c r="B1397" s="1" t="str">
        <f>IFERROR(__xludf.DUMMYFUNCTION("GOOGLETRANSLATE(A1323, ""zh-CN"", ""en"")"),"Hebei Province")</f>
        <v>Hebei Province</v>
      </c>
      <c r="C1397" s="1" t="s">
        <v>1149</v>
      </c>
      <c r="D1397" s="1" t="str">
        <f>IFERROR(__xludf.DUMMYFUNCTION("GOOGLETRANSLATE(C1397, ""zh-CN"", ""en"")"),"Zhangjiakou City")</f>
        <v>Zhangjiakou City</v>
      </c>
      <c r="E1397" s="1" t="s">
        <v>1285</v>
      </c>
      <c r="F1397" s="1" t="str">
        <f>IFERROR(__xludf.DUMMYFUNCTION("GOOGLETRANSLATE(E1397, ""zh-CN"", ""en"")"),"Zhangjiakou Economic Development Zone")</f>
        <v>Zhangjiakou Economic Development Zone</v>
      </c>
      <c r="G1397" s="1">
        <v>1.30771E11</v>
      </c>
    </row>
    <row r="1398">
      <c r="A1398" s="1" t="s">
        <v>1142</v>
      </c>
      <c r="B1398" s="1" t="str">
        <f>IFERROR(__xludf.DUMMYFUNCTION("GOOGLETRANSLATE(A1324, ""zh-CN"", ""en"")"),"Hebei Province")</f>
        <v>Hebei Province</v>
      </c>
      <c r="C1398" s="1" t="s">
        <v>1149</v>
      </c>
      <c r="D1398" s="1" t="str">
        <f>IFERROR(__xludf.DUMMYFUNCTION("GOOGLETRANSLATE(C1398, ""zh-CN"", ""en"")"),"Zhangjiakou City")</f>
        <v>Zhangjiakou City</v>
      </c>
      <c r="E1398" s="1" t="s">
        <v>1286</v>
      </c>
      <c r="F1398" s="1" t="str">
        <f>IFERROR(__xludf.DUMMYFUNCTION("GOOGLETRANSLATE(E1398, ""zh-CN"", ""en"")"),"Zhangjiakou City Chabei Management Zone")</f>
        <v>Zhangjiakou City Chabei Management Zone</v>
      </c>
      <c r="G1398" s="1">
        <v>1.30772E11</v>
      </c>
    </row>
    <row r="1399">
      <c r="A1399" s="1" t="s">
        <v>1142</v>
      </c>
      <c r="B1399" s="1" t="str">
        <f>IFERROR(__xludf.DUMMYFUNCTION("GOOGLETRANSLATE(A1325, ""zh-CN"", ""en"")"),"Hebei Province")</f>
        <v>Hebei Province</v>
      </c>
      <c r="C1399" s="1" t="s">
        <v>1149</v>
      </c>
      <c r="D1399" s="1" t="str">
        <f>IFERROR(__xludf.DUMMYFUNCTION("GOOGLETRANSLATE(C1399, ""zh-CN"", ""en"")"),"Zhangjiakou City")</f>
        <v>Zhangjiakou City</v>
      </c>
      <c r="E1399" s="1" t="s">
        <v>1287</v>
      </c>
      <c r="F1399" s="1" t="str">
        <f>IFERROR(__xludf.DUMMYFUNCTION("GOOGLETRANSLATE(E1399, ""zh-CN"", ""en"")"),"Zhangjiakou City Saibei Management Zone")</f>
        <v>Zhangjiakou City Saibei Management Zone</v>
      </c>
      <c r="G1399" s="1">
        <v>1.30773E11</v>
      </c>
    </row>
    <row r="1400">
      <c r="A1400" s="1" t="s">
        <v>1142</v>
      </c>
      <c r="B1400" s="1" t="str">
        <f>IFERROR(__xludf.DUMMYFUNCTION("GOOGLETRANSLATE(A1326, ""zh-CN"", ""en"")"),"Hebei Province")</f>
        <v>Hebei Province</v>
      </c>
      <c r="C1400" s="1" t="s">
        <v>1150</v>
      </c>
      <c r="D1400" s="1" t="str">
        <f>IFERROR(__xludf.DUMMYFUNCTION("GOOGLETRANSLATE(C1400, ""zh-CN"", ""en"")"),"Chengde City")</f>
        <v>Chengde City</v>
      </c>
      <c r="E1400" s="1" t="s">
        <v>24</v>
      </c>
      <c r="F1400" s="1" t="str">
        <f>IFERROR(__xludf.DUMMYFUNCTION("GOOGLETRANSLATE(E1400, ""zh-CN"", ""en"")"),"City area")</f>
        <v>City area</v>
      </c>
      <c r="G1400" s="1">
        <v>1.30801E11</v>
      </c>
    </row>
    <row r="1401">
      <c r="A1401" s="1" t="s">
        <v>1142</v>
      </c>
      <c r="B1401" s="1" t="str">
        <f>IFERROR(__xludf.DUMMYFUNCTION("GOOGLETRANSLATE(A1327, ""zh-CN"", ""en"")"),"Hebei Province")</f>
        <v>Hebei Province</v>
      </c>
      <c r="C1401" s="1" t="s">
        <v>1150</v>
      </c>
      <c r="D1401" s="1" t="str">
        <f>IFERROR(__xludf.DUMMYFUNCTION("GOOGLETRANSLATE(C1401, ""zh-CN"", ""en"")"),"Chengde City")</f>
        <v>Chengde City</v>
      </c>
      <c r="E1401" s="1" t="s">
        <v>1288</v>
      </c>
      <c r="F1401" s="1" t="str">
        <f>IFERROR(__xludf.DUMMYFUNCTION("GOOGLETRANSLATE(E1401, ""zh-CN"", ""en"")"),"Shuangqiao District")</f>
        <v>Shuangqiao District</v>
      </c>
      <c r="G1401" s="1">
        <v>1.30802E11</v>
      </c>
    </row>
    <row r="1402">
      <c r="A1402" s="1" t="s">
        <v>1142</v>
      </c>
      <c r="B1402" s="1" t="str">
        <f>IFERROR(__xludf.DUMMYFUNCTION("GOOGLETRANSLATE(A1328, ""zh-CN"", ""en"")"),"Hebei Province")</f>
        <v>Hebei Province</v>
      </c>
      <c r="C1402" s="1" t="s">
        <v>1150</v>
      </c>
      <c r="D1402" s="1" t="str">
        <f>IFERROR(__xludf.DUMMYFUNCTION("GOOGLETRANSLATE(C1402, ""zh-CN"", ""en"")"),"Chengde City")</f>
        <v>Chengde City</v>
      </c>
      <c r="E1402" s="1" t="s">
        <v>1289</v>
      </c>
      <c r="F1402" s="1" t="str">
        <f>IFERROR(__xludf.DUMMYFUNCTION("GOOGLETRANSLATE(E1402, ""zh-CN"", ""en"")"),"Shuanglu District")</f>
        <v>Shuanglu District</v>
      </c>
      <c r="G1402" s="1">
        <v>1.30803E11</v>
      </c>
    </row>
    <row r="1403">
      <c r="A1403" s="1" t="s">
        <v>1142</v>
      </c>
      <c r="B1403" s="1" t="str">
        <f>IFERROR(__xludf.DUMMYFUNCTION("GOOGLETRANSLATE(A1329, ""zh-CN"", ""en"")"),"Hebei Province")</f>
        <v>Hebei Province</v>
      </c>
      <c r="C1403" s="1" t="s">
        <v>1150</v>
      </c>
      <c r="D1403" s="1" t="str">
        <f>IFERROR(__xludf.DUMMYFUNCTION("GOOGLETRANSLATE(C1403, ""zh-CN"", ""en"")"),"Chengde City")</f>
        <v>Chengde City</v>
      </c>
      <c r="E1403" s="1" t="s">
        <v>1290</v>
      </c>
      <c r="F1403" s="1" t="str">
        <f>IFERROR(__xludf.DUMMYFUNCTION("GOOGLETRANSLATE(E1403, ""zh-CN"", ""en"")"),"Eagle Small Camp Zone Mining Area")</f>
        <v>Eagle Small Camp Zone Mining Area</v>
      </c>
      <c r="G1403" s="1">
        <v>1.30804E11</v>
      </c>
    </row>
    <row r="1404">
      <c r="A1404" s="1" t="s">
        <v>1142</v>
      </c>
      <c r="B1404" s="1" t="str">
        <f>IFERROR(__xludf.DUMMYFUNCTION("GOOGLETRANSLATE(A1330, ""zh-CN"", ""en"")"),"Hebei Province")</f>
        <v>Hebei Province</v>
      </c>
      <c r="C1404" s="1" t="s">
        <v>1150</v>
      </c>
      <c r="D1404" s="1" t="str">
        <f>IFERROR(__xludf.DUMMYFUNCTION("GOOGLETRANSLATE(C1404, ""zh-CN"", ""en"")"),"Chengde City")</f>
        <v>Chengde City</v>
      </c>
      <c r="E1404" s="1" t="s">
        <v>1291</v>
      </c>
      <c r="F1404" s="1" t="str">
        <f>IFERROR(__xludf.DUMMYFUNCTION("GOOGLETRANSLATE(E1404, ""zh-CN"", ""en"")"),"Chengde County")</f>
        <v>Chengde County</v>
      </c>
      <c r="G1404" s="1">
        <v>1.30821E11</v>
      </c>
    </row>
    <row r="1405">
      <c r="A1405" s="1" t="s">
        <v>1142</v>
      </c>
      <c r="B1405" s="1" t="str">
        <f>IFERROR(__xludf.DUMMYFUNCTION("GOOGLETRANSLATE(A1331, ""zh-CN"", ""en"")"),"Hebei Province")</f>
        <v>Hebei Province</v>
      </c>
      <c r="C1405" s="1" t="s">
        <v>1150</v>
      </c>
      <c r="D1405" s="1" t="str">
        <f>IFERROR(__xludf.DUMMYFUNCTION("GOOGLETRANSLATE(C1405, ""zh-CN"", ""en"")"),"Chengde City")</f>
        <v>Chengde City</v>
      </c>
      <c r="E1405" s="1" t="s">
        <v>1292</v>
      </c>
      <c r="F1405" s="1" t="str">
        <f>IFERROR(__xludf.DUMMYFUNCTION("GOOGLETRANSLATE(E1405, ""zh-CN"", ""en"")"),"Xinglong County")</f>
        <v>Xinglong County</v>
      </c>
      <c r="G1405" s="1">
        <v>1.30822E11</v>
      </c>
    </row>
    <row r="1406">
      <c r="A1406" s="1" t="s">
        <v>1142</v>
      </c>
      <c r="B1406" s="1" t="str">
        <f>IFERROR(__xludf.DUMMYFUNCTION("GOOGLETRANSLATE(A1332, ""zh-CN"", ""en"")"),"Hebei Province")</f>
        <v>Hebei Province</v>
      </c>
      <c r="C1406" s="1" t="s">
        <v>1150</v>
      </c>
      <c r="D1406" s="1" t="str">
        <f>IFERROR(__xludf.DUMMYFUNCTION("GOOGLETRANSLATE(C1406, ""zh-CN"", ""en"")"),"Chengde City")</f>
        <v>Chengde City</v>
      </c>
      <c r="E1406" s="1" t="s">
        <v>1293</v>
      </c>
      <c r="F1406" s="1" t="str">
        <f>IFERROR(__xludf.DUMMYFUNCTION("GOOGLETRANSLATE(E1406, ""zh-CN"", ""en"")"),"Pingping County")</f>
        <v>Pingping County</v>
      </c>
      <c r="G1406" s="1">
        <v>1.30824E11</v>
      </c>
    </row>
    <row r="1407">
      <c r="A1407" s="1" t="s">
        <v>1142</v>
      </c>
      <c r="B1407" s="1" t="str">
        <f>IFERROR(__xludf.DUMMYFUNCTION("GOOGLETRANSLATE(A1333, ""zh-CN"", ""en"")"),"Hebei Province")</f>
        <v>Hebei Province</v>
      </c>
      <c r="C1407" s="1" t="s">
        <v>1150</v>
      </c>
      <c r="D1407" s="1" t="str">
        <f>IFERROR(__xludf.DUMMYFUNCTION("GOOGLETRANSLATE(C1407, ""zh-CN"", ""en"")"),"Chengde City")</f>
        <v>Chengde City</v>
      </c>
      <c r="E1407" s="1" t="s">
        <v>1294</v>
      </c>
      <c r="F1407" s="1" t="str">
        <f>IFERROR(__xludf.DUMMYFUNCTION("GOOGLETRANSLATE(E1407, ""zh-CN"", ""en"")"),"Longhua County")</f>
        <v>Longhua County</v>
      </c>
      <c r="G1407" s="1">
        <v>1.30825E11</v>
      </c>
    </row>
    <row r="1408">
      <c r="A1408" s="1" t="s">
        <v>1142</v>
      </c>
      <c r="B1408" s="1" t="str">
        <f>IFERROR(__xludf.DUMMYFUNCTION("GOOGLETRANSLATE(A1334, ""zh-CN"", ""en"")"),"Hebei Province")</f>
        <v>Hebei Province</v>
      </c>
      <c r="C1408" s="1" t="s">
        <v>1150</v>
      </c>
      <c r="D1408" s="1" t="str">
        <f>IFERROR(__xludf.DUMMYFUNCTION("GOOGLETRANSLATE(C1408, ""zh-CN"", ""en"")"),"Chengde City")</f>
        <v>Chengde City</v>
      </c>
      <c r="E1408" s="1" t="s">
        <v>1295</v>
      </c>
      <c r="F1408" s="1" t="str">
        <f>IFERROR(__xludf.DUMMYFUNCTION("GOOGLETRANSLATE(E1408, ""zh-CN"", ""en"")"),"Fengning Manchu Autonomous County")</f>
        <v>Fengning Manchu Autonomous County</v>
      </c>
      <c r="G1408" s="1">
        <v>1.30826E11</v>
      </c>
    </row>
    <row r="1409">
      <c r="A1409" s="1" t="s">
        <v>1142</v>
      </c>
      <c r="B1409" s="1" t="str">
        <f>IFERROR(__xludf.DUMMYFUNCTION("GOOGLETRANSLATE(A1335, ""zh-CN"", ""en"")"),"Hebei Province")</f>
        <v>Hebei Province</v>
      </c>
      <c r="C1409" s="1" t="s">
        <v>1150</v>
      </c>
      <c r="D1409" s="1" t="str">
        <f>IFERROR(__xludf.DUMMYFUNCTION("GOOGLETRANSLATE(C1409, ""zh-CN"", ""en"")"),"Chengde City")</f>
        <v>Chengde City</v>
      </c>
      <c r="E1409" s="1" t="s">
        <v>1296</v>
      </c>
      <c r="F1409" s="1" t="str">
        <f>IFERROR(__xludf.DUMMYFUNCTION("GOOGLETRANSLATE(E1409, ""zh-CN"", ""en"")"),"Kuancheng Manchu Autonomous County")</f>
        <v>Kuancheng Manchu Autonomous County</v>
      </c>
      <c r="G1409" s="1">
        <v>1.30827E11</v>
      </c>
    </row>
    <row r="1410">
      <c r="A1410" s="1" t="s">
        <v>1142</v>
      </c>
      <c r="B1410" s="1" t="str">
        <f>IFERROR(__xludf.DUMMYFUNCTION("GOOGLETRANSLATE(A1336, ""zh-CN"", ""en"")"),"Hebei Province")</f>
        <v>Hebei Province</v>
      </c>
      <c r="C1410" s="1" t="s">
        <v>1150</v>
      </c>
      <c r="D1410" s="1" t="str">
        <f>IFERROR(__xludf.DUMMYFUNCTION("GOOGLETRANSLATE(C1410, ""zh-CN"", ""en"")"),"Chengde City")</f>
        <v>Chengde City</v>
      </c>
      <c r="E1410" s="1" t="s">
        <v>1297</v>
      </c>
      <c r="F1410" s="1" t="str">
        <f>IFERROR(__xludf.DUMMYFUNCTION("GOOGLETRANSLATE(E1410, ""zh-CN"", ""en"")"),"Piece Manchu Mongolian Autonomous County")</f>
        <v>Piece Manchu Mongolian Autonomous County</v>
      </c>
      <c r="G1410" s="1">
        <v>1.30828E11</v>
      </c>
    </row>
    <row r="1411">
      <c r="A1411" s="1" t="s">
        <v>1142</v>
      </c>
      <c r="B1411" s="1" t="str">
        <f>IFERROR(__xludf.DUMMYFUNCTION("GOOGLETRANSLATE(A1337, ""zh-CN"", ""en"")"),"Hebei Province")</f>
        <v>Hebei Province</v>
      </c>
      <c r="C1411" s="1" t="s">
        <v>1150</v>
      </c>
      <c r="D1411" s="1" t="str">
        <f>IFERROR(__xludf.DUMMYFUNCTION("GOOGLETRANSLATE(C1411, ""zh-CN"", ""en"")"),"Chengde City")</f>
        <v>Chengde City</v>
      </c>
      <c r="E1411" s="1" t="s">
        <v>1298</v>
      </c>
      <c r="F1411" s="1" t="str">
        <f>IFERROR(__xludf.DUMMYFUNCTION("GOOGLETRANSLATE(E1411, ""zh-CN"", ""en"")"),"Chengde High -tech Industrial Development Zone")</f>
        <v>Chengde High -tech Industrial Development Zone</v>
      </c>
      <c r="G1411" s="1">
        <v>1.30871E11</v>
      </c>
    </row>
    <row r="1412">
      <c r="A1412" s="1" t="s">
        <v>1142</v>
      </c>
      <c r="B1412" s="1" t="str">
        <f>IFERROR(__xludf.DUMMYFUNCTION("GOOGLETRANSLATE(A1338, ""zh-CN"", ""en"")"),"Hebei Province")</f>
        <v>Hebei Province</v>
      </c>
      <c r="C1412" s="1" t="s">
        <v>1150</v>
      </c>
      <c r="D1412" s="1" t="str">
        <f>IFERROR(__xludf.DUMMYFUNCTION("GOOGLETRANSLATE(C1412, ""zh-CN"", ""en"")"),"Chengde City")</f>
        <v>Chengde City</v>
      </c>
      <c r="E1412" s="1" t="s">
        <v>1299</v>
      </c>
      <c r="F1412" s="1" t="str">
        <f>IFERROR(__xludf.DUMMYFUNCTION("GOOGLETRANSLATE(E1412, ""zh-CN"", ""en"")"),"Pingquan City")</f>
        <v>Pingquan City</v>
      </c>
      <c r="G1412" s="1">
        <v>1.30881E11</v>
      </c>
    </row>
    <row r="1413">
      <c r="A1413" s="1" t="s">
        <v>1142</v>
      </c>
      <c r="B1413" s="1" t="str">
        <f>IFERROR(__xludf.DUMMYFUNCTION("GOOGLETRANSLATE(A1339, ""zh-CN"", ""en"")"),"Hebei Province")</f>
        <v>Hebei Province</v>
      </c>
      <c r="C1413" s="1" t="s">
        <v>1151</v>
      </c>
      <c r="D1413" s="1" t="str">
        <f>IFERROR(__xludf.DUMMYFUNCTION("GOOGLETRANSLATE(C1413, ""zh-CN"", ""en"")"),"Cangzhou")</f>
        <v>Cangzhou</v>
      </c>
      <c r="E1413" s="1" t="s">
        <v>24</v>
      </c>
      <c r="F1413" s="1" t="str">
        <f>IFERROR(__xludf.DUMMYFUNCTION("GOOGLETRANSLATE(E1413, ""zh-CN"", ""en"")"),"City area")</f>
        <v>City area</v>
      </c>
      <c r="G1413" s="1">
        <v>1.30901E11</v>
      </c>
    </row>
    <row r="1414">
      <c r="A1414" s="1" t="s">
        <v>1142</v>
      </c>
      <c r="B1414" s="1" t="str">
        <f>IFERROR(__xludf.DUMMYFUNCTION("GOOGLETRANSLATE(A1340, ""zh-CN"", ""en"")"),"Hebei Province")</f>
        <v>Hebei Province</v>
      </c>
      <c r="C1414" s="1" t="s">
        <v>1151</v>
      </c>
      <c r="D1414" s="1" t="str">
        <f>IFERROR(__xludf.DUMMYFUNCTION("GOOGLETRANSLATE(C1414, ""zh-CN"", ""en"")"),"Cangzhou")</f>
        <v>Cangzhou</v>
      </c>
      <c r="E1414" s="1" t="s">
        <v>1156</v>
      </c>
      <c r="F1414" s="1" t="str">
        <f>IFERROR(__xludf.DUMMYFUNCTION("GOOGLETRANSLATE(E1414, ""zh-CN"", ""en"")"),"Xinhua District")</f>
        <v>Xinhua District</v>
      </c>
      <c r="G1414" s="1">
        <v>1.30902E11</v>
      </c>
    </row>
    <row r="1415">
      <c r="A1415" s="1" t="s">
        <v>1142</v>
      </c>
      <c r="B1415" s="1" t="str">
        <f>IFERROR(__xludf.DUMMYFUNCTION("GOOGLETRANSLATE(A1341, ""zh-CN"", ""en"")"),"Hebei Province")</f>
        <v>Hebei Province</v>
      </c>
      <c r="C1415" s="1" t="s">
        <v>1151</v>
      </c>
      <c r="D1415" s="1" t="str">
        <f>IFERROR(__xludf.DUMMYFUNCTION("GOOGLETRANSLATE(C1415, ""zh-CN"", ""en"")"),"Cangzhou")</f>
        <v>Cangzhou</v>
      </c>
      <c r="E1415" s="1" t="s">
        <v>1300</v>
      </c>
      <c r="F1415" s="1" t="str">
        <f>IFERROR(__xludf.DUMMYFUNCTION("GOOGLETRANSLATE(E1415, ""zh-CN"", ""en"")"),"Canal district")</f>
        <v>Canal district</v>
      </c>
      <c r="G1415" s="1">
        <v>1.30903E11</v>
      </c>
    </row>
    <row r="1416">
      <c r="A1416" s="1" t="s">
        <v>1142</v>
      </c>
      <c r="B1416" s="1" t="str">
        <f>IFERROR(__xludf.DUMMYFUNCTION("GOOGLETRANSLATE(A1342, ""zh-CN"", ""en"")"),"Hebei Province")</f>
        <v>Hebei Province</v>
      </c>
      <c r="C1416" s="1" t="s">
        <v>1151</v>
      </c>
      <c r="D1416" s="1" t="str">
        <f>IFERROR(__xludf.DUMMYFUNCTION("GOOGLETRANSLATE(C1416, ""zh-CN"", ""en"")"),"Cangzhou")</f>
        <v>Cangzhou</v>
      </c>
      <c r="E1416" s="1" t="s">
        <v>1301</v>
      </c>
      <c r="F1416" s="1" t="str">
        <f>IFERROR(__xludf.DUMMYFUNCTION("GOOGLETRANSLATE(E1416, ""zh-CN"", ""en"")"),"Cangxian")</f>
        <v>Cangxian</v>
      </c>
      <c r="G1416" s="1">
        <v>1.30921E11</v>
      </c>
    </row>
    <row r="1417">
      <c r="A1417" s="1" t="s">
        <v>1142</v>
      </c>
      <c r="B1417" s="1" t="str">
        <f>IFERROR(__xludf.DUMMYFUNCTION("GOOGLETRANSLATE(A1343, ""zh-CN"", ""en"")"),"Hebei Province")</f>
        <v>Hebei Province</v>
      </c>
      <c r="C1417" s="1" t="s">
        <v>1151</v>
      </c>
      <c r="D1417" s="1" t="str">
        <f>IFERROR(__xludf.DUMMYFUNCTION("GOOGLETRANSLATE(C1417, ""zh-CN"", ""en"")"),"Cangzhou")</f>
        <v>Cangzhou</v>
      </c>
      <c r="E1417" s="1" t="s">
        <v>1302</v>
      </c>
      <c r="F1417" s="1" t="str">
        <f>IFERROR(__xludf.DUMMYFUNCTION("GOOGLETRANSLATE(E1417, ""zh-CN"", ""en"")"),"Qing County")</f>
        <v>Qing County</v>
      </c>
      <c r="G1417" s="1">
        <v>1.30922E11</v>
      </c>
    </row>
    <row r="1418">
      <c r="A1418" s="1" t="s">
        <v>1142</v>
      </c>
      <c r="B1418" s="1" t="str">
        <f>IFERROR(__xludf.DUMMYFUNCTION("GOOGLETRANSLATE(A1344, ""zh-CN"", ""en"")"),"Hebei Province")</f>
        <v>Hebei Province</v>
      </c>
      <c r="C1418" s="1" t="s">
        <v>1151</v>
      </c>
      <c r="D1418" s="1" t="str">
        <f>IFERROR(__xludf.DUMMYFUNCTION("GOOGLETRANSLATE(C1418, ""zh-CN"", ""en"")"),"Cangzhou")</f>
        <v>Cangzhou</v>
      </c>
      <c r="E1418" s="1" t="s">
        <v>1303</v>
      </c>
      <c r="F1418" s="1" t="str">
        <f>IFERROR(__xludf.DUMMYFUNCTION("GOOGLETRANSLATE(E1418, ""zh-CN"", ""en"")"),"Dongguang County")</f>
        <v>Dongguang County</v>
      </c>
      <c r="G1418" s="1">
        <v>1.30923E11</v>
      </c>
    </row>
    <row r="1419">
      <c r="A1419" s="1" t="s">
        <v>1142</v>
      </c>
      <c r="B1419" s="1" t="str">
        <f>IFERROR(__xludf.DUMMYFUNCTION("GOOGLETRANSLATE(A1345, ""zh-CN"", ""en"")"),"Hebei Province")</f>
        <v>Hebei Province</v>
      </c>
      <c r="C1419" s="1" t="s">
        <v>1151</v>
      </c>
      <c r="D1419" s="1" t="str">
        <f>IFERROR(__xludf.DUMMYFUNCTION("GOOGLETRANSLATE(C1419, ""zh-CN"", ""en"")"),"Cangzhou")</f>
        <v>Cangzhou</v>
      </c>
      <c r="E1419" s="1" t="s">
        <v>1304</v>
      </c>
      <c r="F1419" s="1" t="str">
        <f>IFERROR(__xludf.DUMMYFUNCTION("GOOGLETRANSLATE(E1419, ""zh-CN"", ""en"")"),"Haixing County")</f>
        <v>Haixing County</v>
      </c>
      <c r="G1419" s="1">
        <v>1.30924E11</v>
      </c>
    </row>
    <row r="1420">
      <c r="A1420" s="1" t="s">
        <v>1142</v>
      </c>
      <c r="B1420" s="1" t="str">
        <f>IFERROR(__xludf.DUMMYFUNCTION("GOOGLETRANSLATE(A1346, ""zh-CN"", ""en"")"),"Hebei Province")</f>
        <v>Hebei Province</v>
      </c>
      <c r="C1420" s="1" t="s">
        <v>1151</v>
      </c>
      <c r="D1420" s="1" t="str">
        <f>IFERROR(__xludf.DUMMYFUNCTION("GOOGLETRANSLATE(C1420, ""zh-CN"", ""en"")"),"Cangzhou")</f>
        <v>Cangzhou</v>
      </c>
      <c r="E1420" s="1" t="s">
        <v>1305</v>
      </c>
      <c r="F1420" s="1" t="str">
        <f>IFERROR(__xludf.DUMMYFUNCTION("GOOGLETRANSLATE(E1420, ""zh-CN"", ""en"")"),"Yanyan County")</f>
        <v>Yanyan County</v>
      </c>
      <c r="G1420" s="1">
        <v>1.30925E11</v>
      </c>
    </row>
    <row r="1421">
      <c r="A1421" s="1" t="s">
        <v>1142</v>
      </c>
      <c r="B1421" s="1" t="str">
        <f>IFERROR(__xludf.DUMMYFUNCTION("GOOGLETRANSLATE(A1347, ""zh-CN"", ""en"")"),"Hebei Province")</f>
        <v>Hebei Province</v>
      </c>
      <c r="C1421" s="1" t="s">
        <v>1151</v>
      </c>
      <c r="D1421" s="1" t="str">
        <f>IFERROR(__xludf.DUMMYFUNCTION("GOOGLETRANSLATE(C1421, ""zh-CN"", ""en"")"),"Cangzhou")</f>
        <v>Cangzhou</v>
      </c>
      <c r="E1421" s="1" t="s">
        <v>1306</v>
      </c>
      <c r="F1421" s="1" t="str">
        <f>IFERROR(__xludf.DUMMYFUNCTION("GOOGLETRANSLATE(E1421, ""zh-CN"", ""en"")"),"Suning County")</f>
        <v>Suning County</v>
      </c>
      <c r="G1421" s="1">
        <v>1.30926E11</v>
      </c>
    </row>
    <row r="1422">
      <c r="A1422" s="1" t="s">
        <v>1142</v>
      </c>
      <c r="B1422" s="1" t="str">
        <f>IFERROR(__xludf.DUMMYFUNCTION("GOOGLETRANSLATE(A1348, ""zh-CN"", ""en"")"),"Hebei Province")</f>
        <v>Hebei Province</v>
      </c>
      <c r="C1422" s="1" t="s">
        <v>1151</v>
      </c>
      <c r="D1422" s="1" t="str">
        <f>IFERROR(__xludf.DUMMYFUNCTION("GOOGLETRANSLATE(C1422, ""zh-CN"", ""en"")"),"Cangzhou")</f>
        <v>Cangzhou</v>
      </c>
      <c r="E1422" s="1" t="s">
        <v>1307</v>
      </c>
      <c r="F1422" s="1" t="str">
        <f>IFERROR(__xludf.DUMMYFUNCTION("GOOGLETRANSLATE(E1422, ""zh-CN"", ""en"")"),"Nanpi County")</f>
        <v>Nanpi County</v>
      </c>
      <c r="G1422" s="1">
        <v>1.30927E11</v>
      </c>
    </row>
    <row r="1423">
      <c r="A1423" s="1" t="s">
        <v>1142</v>
      </c>
      <c r="B1423" s="1" t="str">
        <f>IFERROR(__xludf.DUMMYFUNCTION("GOOGLETRANSLATE(A1349, ""zh-CN"", ""en"")"),"Hebei Province")</f>
        <v>Hebei Province</v>
      </c>
      <c r="C1423" s="1" t="s">
        <v>1151</v>
      </c>
      <c r="D1423" s="1" t="str">
        <f>IFERROR(__xludf.DUMMYFUNCTION("GOOGLETRANSLATE(C1423, ""zh-CN"", ""en"")"),"Cangzhou")</f>
        <v>Cangzhou</v>
      </c>
      <c r="E1423" s="1" t="s">
        <v>1308</v>
      </c>
      <c r="F1423" s="1" t="str">
        <f>IFERROR(__xludf.DUMMYFUNCTION("GOOGLETRANSLATE(E1423, ""zh-CN"", ""en"")"),"Wuqiao County")</f>
        <v>Wuqiao County</v>
      </c>
      <c r="G1423" s="1">
        <v>1.30928E11</v>
      </c>
    </row>
    <row r="1424">
      <c r="A1424" s="1" t="s">
        <v>1142</v>
      </c>
      <c r="B1424" s="1" t="str">
        <f>IFERROR(__xludf.DUMMYFUNCTION("GOOGLETRANSLATE(A1350, ""zh-CN"", ""en"")"),"Hebei Province")</f>
        <v>Hebei Province</v>
      </c>
      <c r="C1424" s="1" t="s">
        <v>1151</v>
      </c>
      <c r="D1424" s="1" t="str">
        <f>IFERROR(__xludf.DUMMYFUNCTION("GOOGLETRANSLATE(C1424, ""zh-CN"", ""en"")"),"Cangzhou")</f>
        <v>Cangzhou</v>
      </c>
      <c r="E1424" s="1" t="s">
        <v>1309</v>
      </c>
      <c r="F1424" s="1" t="str">
        <f>IFERROR(__xludf.DUMMYFUNCTION("GOOGLETRANSLATE(E1424, ""zh-CN"", ""en"")"),"Xianxian County")</f>
        <v>Xianxian County</v>
      </c>
      <c r="G1424" s="1">
        <v>1.30929E11</v>
      </c>
    </row>
    <row r="1425">
      <c r="A1425" s="1" t="s">
        <v>1142</v>
      </c>
      <c r="B1425" s="1" t="str">
        <f>IFERROR(__xludf.DUMMYFUNCTION("GOOGLETRANSLATE(A1351, ""zh-CN"", ""en"")"),"Hebei Province")</f>
        <v>Hebei Province</v>
      </c>
      <c r="C1425" s="1" t="s">
        <v>1151</v>
      </c>
      <c r="D1425" s="1" t="str">
        <f>IFERROR(__xludf.DUMMYFUNCTION("GOOGLETRANSLATE(C1425, ""zh-CN"", ""en"")"),"Cangzhou")</f>
        <v>Cangzhou</v>
      </c>
      <c r="E1425" s="1" t="s">
        <v>1310</v>
      </c>
      <c r="F1425" s="1" t="str">
        <f>IFERROR(__xludf.DUMMYFUNCTION("GOOGLETRANSLATE(E1425, ""zh-CN"", ""en"")"),"Mengcun Hui Autonomous County")</f>
        <v>Mengcun Hui Autonomous County</v>
      </c>
      <c r="G1425" s="1">
        <v>1.3093E11</v>
      </c>
    </row>
    <row r="1426">
      <c r="A1426" s="1" t="s">
        <v>1142</v>
      </c>
      <c r="B1426" s="1" t="str">
        <f>IFERROR(__xludf.DUMMYFUNCTION("GOOGLETRANSLATE(A1352, ""zh-CN"", ""en"")"),"Hebei Province")</f>
        <v>Hebei Province</v>
      </c>
      <c r="C1426" s="1" t="s">
        <v>1151</v>
      </c>
      <c r="D1426" s="1" t="str">
        <f>IFERROR(__xludf.DUMMYFUNCTION("GOOGLETRANSLATE(C1426, ""zh-CN"", ""en"")"),"Cangzhou")</f>
        <v>Cangzhou</v>
      </c>
      <c r="E1426" s="1" t="s">
        <v>1311</v>
      </c>
      <c r="F1426" s="1" t="str">
        <f>IFERROR(__xludf.DUMMYFUNCTION("GOOGLETRANSLATE(E1426, ""zh-CN"", ""en"")"),"Cangzhou Economic Development Zone, Hebei")</f>
        <v>Cangzhou Economic Development Zone, Hebei</v>
      </c>
      <c r="G1426" s="1">
        <v>1.30971E11</v>
      </c>
    </row>
    <row r="1427">
      <c r="A1427" s="1" t="s">
        <v>1142</v>
      </c>
      <c r="B1427" s="1" t="str">
        <f>IFERROR(__xludf.DUMMYFUNCTION("GOOGLETRANSLATE(A1353, ""zh-CN"", ""en"")"),"Hebei Province")</f>
        <v>Hebei Province</v>
      </c>
      <c r="C1427" s="1" t="s">
        <v>1151</v>
      </c>
      <c r="D1427" s="1" t="str">
        <f>IFERROR(__xludf.DUMMYFUNCTION("GOOGLETRANSLATE(C1427, ""zh-CN"", ""en"")"),"Cangzhou")</f>
        <v>Cangzhou</v>
      </c>
      <c r="E1427" s="1" t="s">
        <v>1312</v>
      </c>
      <c r="F1427" s="1" t="str">
        <f>IFERROR(__xludf.DUMMYFUNCTION("GOOGLETRANSLATE(E1427, ""zh-CN"", ""en"")"),"Cangzhou High -tech Industrial Development Zone")</f>
        <v>Cangzhou High -tech Industrial Development Zone</v>
      </c>
      <c r="G1427" s="1">
        <v>1.30972E11</v>
      </c>
    </row>
    <row r="1428">
      <c r="A1428" s="1" t="s">
        <v>1142</v>
      </c>
      <c r="B1428" s="1" t="str">
        <f>IFERROR(__xludf.DUMMYFUNCTION("GOOGLETRANSLATE(A1354, ""zh-CN"", ""en"")"),"Hebei Province")</f>
        <v>Hebei Province</v>
      </c>
      <c r="C1428" s="1" t="s">
        <v>1151</v>
      </c>
      <c r="D1428" s="1" t="str">
        <f>IFERROR(__xludf.DUMMYFUNCTION("GOOGLETRANSLATE(C1428, ""zh-CN"", ""en"")"),"Cangzhou")</f>
        <v>Cangzhou</v>
      </c>
      <c r="E1428" s="1" t="s">
        <v>1313</v>
      </c>
      <c r="F1428" s="1" t="str">
        <f>IFERROR(__xludf.DUMMYFUNCTION("GOOGLETRANSLATE(E1428, ""zh-CN"", ""en"")"),"Cangzhou Bohai New District")</f>
        <v>Cangzhou Bohai New District</v>
      </c>
      <c r="G1428" s="1">
        <v>1.30973E11</v>
      </c>
    </row>
    <row r="1429">
      <c r="A1429" s="1" t="s">
        <v>1142</v>
      </c>
      <c r="B1429" s="1" t="str">
        <f>IFERROR(__xludf.DUMMYFUNCTION("GOOGLETRANSLATE(A1355, ""zh-CN"", ""en"")"),"Hebei Province")</f>
        <v>Hebei Province</v>
      </c>
      <c r="C1429" s="1" t="s">
        <v>1151</v>
      </c>
      <c r="D1429" s="1" t="str">
        <f>IFERROR(__xludf.DUMMYFUNCTION("GOOGLETRANSLATE(C1429, ""zh-CN"", ""en"")"),"Cangzhou")</f>
        <v>Cangzhou</v>
      </c>
      <c r="E1429" s="1" t="s">
        <v>1314</v>
      </c>
      <c r="F1429" s="1" t="str">
        <f>IFERROR(__xludf.DUMMYFUNCTION("GOOGLETRANSLATE(E1429, ""zh-CN"", ""en"")"),"Botou City")</f>
        <v>Botou City</v>
      </c>
      <c r="G1429" s="1">
        <v>1.30981E11</v>
      </c>
    </row>
    <row r="1430">
      <c r="A1430" s="1" t="s">
        <v>1142</v>
      </c>
      <c r="B1430" s="1" t="str">
        <f>IFERROR(__xludf.DUMMYFUNCTION("GOOGLETRANSLATE(A1356, ""zh-CN"", ""en"")"),"Hebei Province")</f>
        <v>Hebei Province</v>
      </c>
      <c r="C1430" s="1" t="s">
        <v>1151</v>
      </c>
      <c r="D1430" s="1" t="str">
        <f>IFERROR(__xludf.DUMMYFUNCTION("GOOGLETRANSLATE(C1430, ""zh-CN"", ""en"")"),"Cangzhou")</f>
        <v>Cangzhou</v>
      </c>
      <c r="E1430" s="1" t="s">
        <v>1315</v>
      </c>
      <c r="F1430" s="1" t="str">
        <f>IFERROR(__xludf.DUMMYFUNCTION("GOOGLETRANSLATE(E1430, ""zh-CN"", ""en"")"),"Renqiu City")</f>
        <v>Renqiu City</v>
      </c>
      <c r="G1430" s="1">
        <v>1.30982E11</v>
      </c>
    </row>
    <row r="1431">
      <c r="A1431" s="1" t="s">
        <v>1142</v>
      </c>
      <c r="B1431" s="1" t="str">
        <f>IFERROR(__xludf.DUMMYFUNCTION("GOOGLETRANSLATE(A1357, ""zh-CN"", ""en"")"),"Hebei Province")</f>
        <v>Hebei Province</v>
      </c>
      <c r="C1431" s="1" t="s">
        <v>1151</v>
      </c>
      <c r="D1431" s="1" t="str">
        <f>IFERROR(__xludf.DUMMYFUNCTION("GOOGLETRANSLATE(C1431, ""zh-CN"", ""en"")"),"Cangzhou")</f>
        <v>Cangzhou</v>
      </c>
      <c r="E1431" s="1" t="s">
        <v>1316</v>
      </c>
      <c r="F1431" s="1" t="str">
        <f>IFERROR(__xludf.DUMMYFUNCTION("GOOGLETRANSLATE(E1431, ""zh-CN"", ""en"")"),"Huanghua City")</f>
        <v>Huanghua City</v>
      </c>
      <c r="G1431" s="1">
        <v>1.30983E11</v>
      </c>
    </row>
    <row r="1432">
      <c r="A1432" s="1" t="s">
        <v>1142</v>
      </c>
      <c r="B1432" s="1" t="str">
        <f>IFERROR(__xludf.DUMMYFUNCTION("GOOGLETRANSLATE(A1358, ""zh-CN"", ""en"")"),"Hebei Province")</f>
        <v>Hebei Province</v>
      </c>
      <c r="C1432" s="1" t="s">
        <v>1151</v>
      </c>
      <c r="D1432" s="1" t="str">
        <f>IFERROR(__xludf.DUMMYFUNCTION("GOOGLETRANSLATE(C1432, ""zh-CN"", ""en"")"),"Cangzhou")</f>
        <v>Cangzhou</v>
      </c>
      <c r="E1432" s="1" t="s">
        <v>1317</v>
      </c>
      <c r="F1432" s="1" t="str">
        <f>IFERROR(__xludf.DUMMYFUNCTION("GOOGLETRANSLATE(E1432, ""zh-CN"", ""en"")"),"Hejian City")</f>
        <v>Hejian City</v>
      </c>
      <c r="G1432" s="1">
        <v>1.30984E11</v>
      </c>
    </row>
    <row r="1433">
      <c r="A1433" s="1" t="s">
        <v>1142</v>
      </c>
      <c r="B1433" s="1" t="str">
        <f>IFERROR(__xludf.DUMMYFUNCTION("GOOGLETRANSLATE(A1359, ""zh-CN"", ""en"")"),"Hebei Province")</f>
        <v>Hebei Province</v>
      </c>
      <c r="C1433" s="1" t="s">
        <v>1152</v>
      </c>
      <c r="D1433" s="1" t="str">
        <f>IFERROR(__xludf.DUMMYFUNCTION("GOOGLETRANSLATE(C1433, ""zh-CN"", ""en"")"),"Langfang City")</f>
        <v>Langfang City</v>
      </c>
      <c r="E1433" s="1" t="s">
        <v>24</v>
      </c>
      <c r="F1433" s="1" t="str">
        <f>IFERROR(__xludf.DUMMYFUNCTION("GOOGLETRANSLATE(E1433, ""zh-CN"", ""en"")"),"City area")</f>
        <v>City area</v>
      </c>
      <c r="G1433" s="1">
        <v>1.31001E11</v>
      </c>
    </row>
    <row r="1434">
      <c r="A1434" s="1" t="s">
        <v>1142</v>
      </c>
      <c r="B1434" s="1" t="str">
        <f>IFERROR(__xludf.DUMMYFUNCTION("GOOGLETRANSLATE(A1360, ""zh-CN"", ""en"")"),"Hebei Province")</f>
        <v>Hebei Province</v>
      </c>
      <c r="C1434" s="1" t="s">
        <v>1152</v>
      </c>
      <c r="D1434" s="1" t="str">
        <f>IFERROR(__xludf.DUMMYFUNCTION("GOOGLETRANSLATE(C1434, ""zh-CN"", ""en"")"),"Langfang City")</f>
        <v>Langfang City</v>
      </c>
      <c r="E1434" s="1" t="s">
        <v>1318</v>
      </c>
      <c r="F1434" s="1" t="str">
        <f>IFERROR(__xludf.DUMMYFUNCTION("GOOGLETRANSLATE(E1434, ""zh-CN"", ""en"")"),"Sub -zone")</f>
        <v>Sub -zone</v>
      </c>
      <c r="G1434" s="1">
        <v>1.31002E11</v>
      </c>
    </row>
    <row r="1435">
      <c r="A1435" s="1" t="s">
        <v>1142</v>
      </c>
      <c r="B1435" s="1" t="str">
        <f>IFERROR(__xludf.DUMMYFUNCTION("GOOGLETRANSLATE(A1361, ""zh-CN"", ""en"")"),"Hebei Province")</f>
        <v>Hebei Province</v>
      </c>
      <c r="C1435" s="1" t="s">
        <v>1152</v>
      </c>
      <c r="D1435" s="1" t="str">
        <f>IFERROR(__xludf.DUMMYFUNCTION("GOOGLETRANSLATE(C1435, ""zh-CN"", ""en"")"),"Langfang City")</f>
        <v>Langfang City</v>
      </c>
      <c r="E1435" s="1" t="s">
        <v>1319</v>
      </c>
      <c r="F1435" s="1" t="str">
        <f>IFERROR(__xludf.DUMMYFUNCTION("GOOGLETRANSLATE(E1435, ""zh-CN"", ""en"")"),"Guangyang District")</f>
        <v>Guangyang District</v>
      </c>
      <c r="G1435" s="1">
        <v>1.31003E11</v>
      </c>
    </row>
    <row r="1436">
      <c r="A1436" s="1" t="s">
        <v>1142</v>
      </c>
      <c r="B1436" s="1" t="str">
        <f>IFERROR(__xludf.DUMMYFUNCTION("GOOGLETRANSLATE(A1362, ""zh-CN"", ""en"")"),"Hebei Province")</f>
        <v>Hebei Province</v>
      </c>
      <c r="C1436" s="1" t="s">
        <v>1152</v>
      </c>
      <c r="D1436" s="1" t="str">
        <f>IFERROR(__xludf.DUMMYFUNCTION("GOOGLETRANSLATE(C1436, ""zh-CN"", ""en"")"),"Langfang City")</f>
        <v>Langfang City</v>
      </c>
      <c r="E1436" s="1" t="s">
        <v>1320</v>
      </c>
      <c r="F1436" s="1" t="str">
        <f>IFERROR(__xludf.DUMMYFUNCTION("GOOGLETRANSLATE(E1436, ""zh-CN"", ""en"")"),"Gu'an County")</f>
        <v>Gu'an County</v>
      </c>
      <c r="G1436" s="1">
        <v>1.31022E11</v>
      </c>
    </row>
    <row r="1437">
      <c r="A1437" s="1" t="s">
        <v>1142</v>
      </c>
      <c r="B1437" s="1" t="str">
        <f>IFERROR(__xludf.DUMMYFUNCTION("GOOGLETRANSLATE(A1363, ""zh-CN"", ""en"")"),"Hebei Province")</f>
        <v>Hebei Province</v>
      </c>
      <c r="C1437" s="1" t="s">
        <v>1152</v>
      </c>
      <c r="D1437" s="1" t="str">
        <f>IFERROR(__xludf.DUMMYFUNCTION("GOOGLETRANSLATE(C1437, ""zh-CN"", ""en"")"),"Langfang City")</f>
        <v>Langfang City</v>
      </c>
      <c r="E1437" s="1" t="s">
        <v>1321</v>
      </c>
      <c r="F1437" s="1" t="str">
        <f>IFERROR(__xludf.DUMMYFUNCTION("GOOGLETRANSLATE(E1437, ""zh-CN"", ""en"")"),"Yongqing County")</f>
        <v>Yongqing County</v>
      </c>
      <c r="G1437" s="1">
        <v>1.31023E11</v>
      </c>
    </row>
    <row r="1438">
      <c r="A1438" s="1" t="s">
        <v>1142</v>
      </c>
      <c r="B1438" s="1" t="str">
        <f>IFERROR(__xludf.DUMMYFUNCTION("GOOGLETRANSLATE(A1364, ""zh-CN"", ""en"")"),"Hebei Province")</f>
        <v>Hebei Province</v>
      </c>
      <c r="C1438" s="1" t="s">
        <v>1152</v>
      </c>
      <c r="D1438" s="1" t="str">
        <f>IFERROR(__xludf.DUMMYFUNCTION("GOOGLETRANSLATE(C1438, ""zh-CN"", ""en"")"),"Langfang City")</f>
        <v>Langfang City</v>
      </c>
      <c r="E1438" s="1" t="s">
        <v>1322</v>
      </c>
      <c r="F1438" s="1" t="str">
        <f>IFERROR(__xludf.DUMMYFUNCTION("GOOGLETRANSLATE(E1438, ""zh-CN"", ""en"")"),"Xianghe County")</f>
        <v>Xianghe County</v>
      </c>
      <c r="G1438" s="1">
        <v>1.31024E11</v>
      </c>
    </row>
    <row r="1439">
      <c r="A1439" s="1" t="s">
        <v>1142</v>
      </c>
      <c r="B1439" s="1" t="str">
        <f>IFERROR(__xludf.DUMMYFUNCTION("GOOGLETRANSLATE(A1365, ""zh-CN"", ""en"")"),"Hebei Province")</f>
        <v>Hebei Province</v>
      </c>
      <c r="C1439" s="1" t="s">
        <v>1152</v>
      </c>
      <c r="D1439" s="1" t="str">
        <f>IFERROR(__xludf.DUMMYFUNCTION("GOOGLETRANSLATE(C1439, ""zh-CN"", ""en"")"),"Langfang City")</f>
        <v>Langfang City</v>
      </c>
      <c r="E1439" s="1" t="s">
        <v>1323</v>
      </c>
      <c r="F1439" s="1" t="str">
        <f>IFERROR(__xludf.DUMMYFUNCTION("GOOGLETRANSLATE(E1439, ""zh-CN"", ""en"")"),"Dacheng County")</f>
        <v>Dacheng County</v>
      </c>
      <c r="G1439" s="1">
        <v>1.31025E11</v>
      </c>
    </row>
    <row r="1440">
      <c r="A1440" s="1" t="s">
        <v>1142</v>
      </c>
      <c r="B1440" s="1" t="str">
        <f>IFERROR(__xludf.DUMMYFUNCTION("GOOGLETRANSLATE(A1366, ""zh-CN"", ""en"")"),"Hebei Province")</f>
        <v>Hebei Province</v>
      </c>
      <c r="C1440" s="1" t="s">
        <v>1152</v>
      </c>
      <c r="D1440" s="1" t="str">
        <f>IFERROR(__xludf.DUMMYFUNCTION("GOOGLETRANSLATE(C1440, ""zh-CN"", ""en"")"),"Langfang City")</f>
        <v>Langfang City</v>
      </c>
      <c r="E1440" s="1" t="s">
        <v>1324</v>
      </c>
      <c r="F1440" s="1" t="str">
        <f>IFERROR(__xludf.DUMMYFUNCTION("GOOGLETRANSLATE(E1440, ""zh-CN"", ""en"")"),"Wen'an County")</f>
        <v>Wen'an County</v>
      </c>
      <c r="G1440" s="1">
        <v>1.31026E11</v>
      </c>
    </row>
    <row r="1441">
      <c r="A1441" s="1" t="s">
        <v>1142</v>
      </c>
      <c r="B1441" s="1" t="str">
        <f>IFERROR(__xludf.DUMMYFUNCTION("GOOGLETRANSLATE(A1367, ""zh-CN"", ""en"")"),"Hebei Province")</f>
        <v>Hebei Province</v>
      </c>
      <c r="C1441" s="1" t="s">
        <v>1152</v>
      </c>
      <c r="D1441" s="1" t="str">
        <f>IFERROR(__xludf.DUMMYFUNCTION("GOOGLETRANSLATE(C1441, ""zh-CN"", ""en"")"),"Langfang City")</f>
        <v>Langfang City</v>
      </c>
      <c r="E1441" s="1" t="s">
        <v>1325</v>
      </c>
      <c r="F1441" s="1" t="str">
        <f>IFERROR(__xludf.DUMMYFUNCTION("GOOGLETRANSLATE(E1441, ""zh-CN"", ""en"")"),"Big Factory Hui Autonomous County")</f>
        <v>Big Factory Hui Autonomous County</v>
      </c>
      <c r="G1441" s="1">
        <v>1.31028E11</v>
      </c>
    </row>
    <row r="1442">
      <c r="A1442" s="1" t="s">
        <v>1142</v>
      </c>
      <c r="B1442" s="1" t="str">
        <f>IFERROR(__xludf.DUMMYFUNCTION("GOOGLETRANSLATE(A1368, ""zh-CN"", ""en"")"),"Hebei Province")</f>
        <v>Hebei Province</v>
      </c>
      <c r="C1442" s="1" t="s">
        <v>1152</v>
      </c>
      <c r="D1442" s="1" t="str">
        <f>IFERROR(__xludf.DUMMYFUNCTION("GOOGLETRANSLATE(C1442, ""zh-CN"", ""en"")"),"Langfang City")</f>
        <v>Langfang City</v>
      </c>
      <c r="E1442" s="1" t="s">
        <v>1326</v>
      </c>
      <c r="F1442" s="1" t="str">
        <f>IFERROR(__xludf.DUMMYFUNCTION("GOOGLETRANSLATE(E1442, ""zh-CN"", ""en"")"),"Langfang Economic and Technological Development Zone")</f>
        <v>Langfang Economic and Technological Development Zone</v>
      </c>
      <c r="G1442" s="1">
        <v>1.31071E11</v>
      </c>
    </row>
    <row r="1443">
      <c r="A1443" s="1" t="s">
        <v>1142</v>
      </c>
      <c r="B1443" s="1" t="str">
        <f>IFERROR(__xludf.DUMMYFUNCTION("GOOGLETRANSLATE(A1369, ""zh-CN"", ""en"")"),"Hebei Province")</f>
        <v>Hebei Province</v>
      </c>
      <c r="C1443" s="1" t="s">
        <v>1152</v>
      </c>
      <c r="D1443" s="1" t="str">
        <f>IFERROR(__xludf.DUMMYFUNCTION("GOOGLETRANSLATE(C1443, ""zh-CN"", ""en"")"),"Langfang City")</f>
        <v>Langfang City</v>
      </c>
      <c r="E1443" s="1" t="s">
        <v>1327</v>
      </c>
      <c r="F1443" s="1" t="str">
        <f>IFERROR(__xludf.DUMMYFUNCTION("GOOGLETRANSLATE(E1443, ""zh-CN"", ""en"")"),"Bazhou")</f>
        <v>Bazhou</v>
      </c>
      <c r="G1443" s="1">
        <v>1.31081E11</v>
      </c>
    </row>
    <row r="1444">
      <c r="A1444" s="1" t="s">
        <v>1142</v>
      </c>
      <c r="B1444" s="1" t="str">
        <f>IFERROR(__xludf.DUMMYFUNCTION("GOOGLETRANSLATE(A1370, ""zh-CN"", ""en"")"),"Hebei Province")</f>
        <v>Hebei Province</v>
      </c>
      <c r="C1444" s="1" t="s">
        <v>1152</v>
      </c>
      <c r="D1444" s="1" t="str">
        <f>IFERROR(__xludf.DUMMYFUNCTION("GOOGLETRANSLATE(C1444, ""zh-CN"", ""en"")"),"Langfang City")</f>
        <v>Langfang City</v>
      </c>
      <c r="E1444" s="1" t="s">
        <v>1328</v>
      </c>
      <c r="F1444" s="1" t="str">
        <f>IFERROR(__xludf.DUMMYFUNCTION("GOOGLETRANSLATE(E1444, ""zh-CN"", ""en"")"),"Sanhe City")</f>
        <v>Sanhe City</v>
      </c>
      <c r="G1444" s="1">
        <v>1.31082E11</v>
      </c>
    </row>
    <row r="1445">
      <c r="A1445" s="1" t="s">
        <v>1142</v>
      </c>
      <c r="B1445" s="1" t="str">
        <f>IFERROR(__xludf.DUMMYFUNCTION("GOOGLETRANSLATE(A1371, ""zh-CN"", ""en"")"),"Hebei Province")</f>
        <v>Hebei Province</v>
      </c>
      <c r="C1445" s="1" t="s">
        <v>1153</v>
      </c>
      <c r="D1445" s="1" t="str">
        <f>IFERROR(__xludf.DUMMYFUNCTION("GOOGLETRANSLATE(C1445, ""zh-CN"", ""en"")"),"Hengshui City")</f>
        <v>Hengshui City</v>
      </c>
      <c r="E1445" s="1" t="s">
        <v>24</v>
      </c>
      <c r="F1445" s="1" t="str">
        <f>IFERROR(__xludf.DUMMYFUNCTION("GOOGLETRANSLATE(E1445, ""zh-CN"", ""en"")"),"City area")</f>
        <v>City area</v>
      </c>
      <c r="G1445" s="1">
        <v>1.31101E11</v>
      </c>
    </row>
    <row r="1446">
      <c r="A1446" s="1" t="s">
        <v>1142</v>
      </c>
      <c r="B1446" s="1" t="str">
        <f>IFERROR(__xludf.DUMMYFUNCTION("GOOGLETRANSLATE(A1372, ""zh-CN"", ""en"")"),"Hebei Province")</f>
        <v>Hebei Province</v>
      </c>
      <c r="C1446" s="1" t="s">
        <v>1153</v>
      </c>
      <c r="D1446" s="1" t="str">
        <f>IFERROR(__xludf.DUMMYFUNCTION("GOOGLETRANSLATE(C1446, ""zh-CN"", ""en"")"),"Hengshui City")</f>
        <v>Hengshui City</v>
      </c>
      <c r="E1446" s="1" t="s">
        <v>1329</v>
      </c>
      <c r="F1446" s="1" t="str">
        <f>IFERROR(__xludf.DUMMYFUNCTION("GOOGLETRANSLATE(E1446, ""zh-CN"", ""en"")"),"Taocheng District")</f>
        <v>Taocheng District</v>
      </c>
      <c r="G1446" s="1">
        <v>1.31102E11</v>
      </c>
    </row>
    <row r="1447">
      <c r="A1447" s="1" t="s">
        <v>1142</v>
      </c>
      <c r="B1447" s="1" t="str">
        <f>IFERROR(__xludf.DUMMYFUNCTION("GOOGLETRANSLATE(A1373, ""zh-CN"", ""en"")"),"Hebei Province")</f>
        <v>Hebei Province</v>
      </c>
      <c r="C1447" s="1" t="s">
        <v>1153</v>
      </c>
      <c r="D1447" s="1" t="str">
        <f>IFERROR(__xludf.DUMMYFUNCTION("GOOGLETRANSLATE(C1447, ""zh-CN"", ""en"")"),"Hengshui City")</f>
        <v>Hengshui City</v>
      </c>
      <c r="E1447" s="1" t="s">
        <v>1330</v>
      </c>
      <c r="F1447" s="1" t="str">
        <f>IFERROR(__xludf.DUMMYFUNCTION("GOOGLETRANSLATE(E1447, ""zh-CN"", ""en"")"),"Jizhou District")</f>
        <v>Jizhou District</v>
      </c>
      <c r="G1447" s="1">
        <v>1.31103E11</v>
      </c>
    </row>
    <row r="1448">
      <c r="A1448" s="1" t="s">
        <v>1142</v>
      </c>
      <c r="B1448" s="1" t="str">
        <f>IFERROR(__xludf.DUMMYFUNCTION("GOOGLETRANSLATE(A1374, ""zh-CN"", ""en"")"),"Hebei Province")</f>
        <v>Hebei Province</v>
      </c>
      <c r="C1448" s="1" t="s">
        <v>1153</v>
      </c>
      <c r="D1448" s="1" t="str">
        <f>IFERROR(__xludf.DUMMYFUNCTION("GOOGLETRANSLATE(C1448, ""zh-CN"", ""en"")"),"Hengshui City")</f>
        <v>Hengshui City</v>
      </c>
      <c r="E1448" s="1" t="s">
        <v>1331</v>
      </c>
      <c r="F1448" s="1" t="str">
        <f>IFERROR(__xludf.DUMMYFUNCTION("GOOGLETRANSLATE(E1448, ""zh-CN"", ""en"")"),"Zaoqiang County")</f>
        <v>Zaoqiang County</v>
      </c>
      <c r="G1448" s="1">
        <v>1.31121E11</v>
      </c>
    </row>
    <row r="1449">
      <c r="A1449" s="1" t="s">
        <v>1142</v>
      </c>
      <c r="B1449" s="1" t="str">
        <f>IFERROR(__xludf.DUMMYFUNCTION("GOOGLETRANSLATE(A1375, ""zh-CN"", ""en"")"),"Hebei Province")</f>
        <v>Hebei Province</v>
      </c>
      <c r="C1449" s="1" t="s">
        <v>1153</v>
      </c>
      <c r="D1449" s="1" t="str">
        <f>IFERROR(__xludf.DUMMYFUNCTION("GOOGLETRANSLATE(C1449, ""zh-CN"", ""en"")"),"Hengshui City")</f>
        <v>Hengshui City</v>
      </c>
      <c r="E1449" s="1" t="s">
        <v>1332</v>
      </c>
      <c r="F1449" s="1" t="str">
        <f>IFERROR(__xludf.DUMMYFUNCTION("GOOGLETRANSLATE(E1449, ""zh-CN"", ""en"")"),"Wuyi County")</f>
        <v>Wuyi County</v>
      </c>
      <c r="G1449" s="1">
        <v>1.31122E11</v>
      </c>
    </row>
    <row r="1450">
      <c r="A1450" s="1" t="s">
        <v>1142</v>
      </c>
      <c r="B1450" s="1" t="str">
        <f>IFERROR(__xludf.DUMMYFUNCTION("GOOGLETRANSLATE(A1376, ""zh-CN"", ""en"")"),"Hebei Province")</f>
        <v>Hebei Province</v>
      </c>
      <c r="C1450" s="1" t="s">
        <v>1153</v>
      </c>
      <c r="D1450" s="1" t="str">
        <f>IFERROR(__xludf.DUMMYFUNCTION("GOOGLETRANSLATE(C1450, ""zh-CN"", ""en"")"),"Hengshui City")</f>
        <v>Hengshui City</v>
      </c>
      <c r="E1450" s="1" t="s">
        <v>1333</v>
      </c>
      <c r="F1450" s="1" t="str">
        <f>IFERROR(__xludf.DUMMYFUNCTION("GOOGLETRANSLATE(E1450, ""zh-CN"", ""en"")"),"Wuqiang County")</f>
        <v>Wuqiang County</v>
      </c>
      <c r="G1450" s="1">
        <v>1.31123E11</v>
      </c>
    </row>
    <row r="1451">
      <c r="A1451" s="1" t="s">
        <v>1142</v>
      </c>
      <c r="B1451" s="1" t="str">
        <f>IFERROR(__xludf.DUMMYFUNCTION("GOOGLETRANSLATE(A1377, ""zh-CN"", ""en"")"),"Hebei Province")</f>
        <v>Hebei Province</v>
      </c>
      <c r="C1451" s="1" t="s">
        <v>1153</v>
      </c>
      <c r="D1451" s="1" t="str">
        <f>IFERROR(__xludf.DUMMYFUNCTION("GOOGLETRANSLATE(C1451, ""zh-CN"", ""en"")"),"Hengshui City")</f>
        <v>Hengshui City</v>
      </c>
      <c r="E1451" s="1" t="s">
        <v>1334</v>
      </c>
      <c r="F1451" s="1" t="str">
        <f>IFERROR(__xludf.DUMMYFUNCTION("GOOGLETRANSLATE(E1451, ""zh-CN"", ""en"")"),"Raoyang County")</f>
        <v>Raoyang County</v>
      </c>
      <c r="G1451" s="1">
        <v>1.31124E11</v>
      </c>
    </row>
    <row r="1452">
      <c r="A1452" s="1" t="s">
        <v>1142</v>
      </c>
      <c r="B1452" s="1" t="str">
        <f>IFERROR(__xludf.DUMMYFUNCTION("GOOGLETRANSLATE(A1378, ""zh-CN"", ""en"")"),"Hebei Province")</f>
        <v>Hebei Province</v>
      </c>
      <c r="C1452" s="1" t="s">
        <v>1153</v>
      </c>
      <c r="D1452" s="1" t="str">
        <f>IFERROR(__xludf.DUMMYFUNCTION("GOOGLETRANSLATE(C1452, ""zh-CN"", ""en"")"),"Hengshui City")</f>
        <v>Hengshui City</v>
      </c>
      <c r="E1452" s="1" t="s">
        <v>1335</v>
      </c>
      <c r="F1452" s="1" t="str">
        <f>IFERROR(__xludf.DUMMYFUNCTION("GOOGLETRANSLATE(E1452, ""zh-CN"", ""en"")"),"Anping County")</f>
        <v>Anping County</v>
      </c>
      <c r="G1452" s="1">
        <v>1.31125E11</v>
      </c>
    </row>
    <row r="1453">
      <c r="A1453" s="1" t="s">
        <v>1142</v>
      </c>
      <c r="B1453" s="1" t="str">
        <f>IFERROR(__xludf.DUMMYFUNCTION("GOOGLETRANSLATE(A1379, ""zh-CN"", ""en"")"),"Hebei Province")</f>
        <v>Hebei Province</v>
      </c>
      <c r="C1453" s="1" t="s">
        <v>1153</v>
      </c>
      <c r="D1453" s="1" t="str">
        <f>IFERROR(__xludf.DUMMYFUNCTION("GOOGLETRANSLATE(C1453, ""zh-CN"", ""en"")"),"Hengshui City")</f>
        <v>Hengshui City</v>
      </c>
      <c r="E1453" s="1" t="s">
        <v>1336</v>
      </c>
      <c r="F1453" s="1" t="str">
        <f>IFERROR(__xludf.DUMMYFUNCTION("GOOGLETRANSLATE(E1453, ""zh-CN"", ""en"")"),"Hometown county")</f>
        <v>Hometown county</v>
      </c>
      <c r="G1453" s="1">
        <v>1.31126E11</v>
      </c>
    </row>
    <row r="1454">
      <c r="A1454" s="1" t="s">
        <v>1142</v>
      </c>
      <c r="B1454" s="1" t="str">
        <f>IFERROR(__xludf.DUMMYFUNCTION("GOOGLETRANSLATE(A1380, ""zh-CN"", ""en"")"),"Hebei Province")</f>
        <v>Hebei Province</v>
      </c>
      <c r="C1454" s="1" t="s">
        <v>1153</v>
      </c>
      <c r="D1454" s="1" t="str">
        <f>IFERROR(__xludf.DUMMYFUNCTION("GOOGLETRANSLATE(C1454, ""zh-CN"", ""en"")"),"Hengshui City")</f>
        <v>Hengshui City</v>
      </c>
      <c r="E1454" s="1" t="s">
        <v>1337</v>
      </c>
      <c r="F1454" s="1" t="str">
        <f>IFERROR(__xludf.DUMMYFUNCTION("GOOGLETRANSLATE(E1454, ""zh-CN"", ""en"")"),"Jingxian")</f>
        <v>Jingxian</v>
      </c>
      <c r="G1454" s="1">
        <v>1.31127E11</v>
      </c>
    </row>
    <row r="1455">
      <c r="A1455" s="1" t="s">
        <v>1142</v>
      </c>
      <c r="B1455" s="1" t="str">
        <f>IFERROR(__xludf.DUMMYFUNCTION("GOOGLETRANSLATE(A1381, ""zh-CN"", ""en"")"),"Hebei Province")</f>
        <v>Hebei Province</v>
      </c>
      <c r="C1455" s="1" t="s">
        <v>1153</v>
      </c>
      <c r="D1455" s="1" t="str">
        <f>IFERROR(__xludf.DUMMYFUNCTION("GOOGLETRANSLATE(C1455, ""zh-CN"", ""en"")"),"Hengshui City")</f>
        <v>Hengshui City</v>
      </c>
      <c r="E1455" s="1" t="s">
        <v>1338</v>
      </c>
      <c r="F1455" s="1" t="str">
        <f>IFERROR(__xludf.DUMMYFUNCTION("GOOGLETRANSLATE(E1455, ""zh-CN"", ""en"")"),"Fucheng County")</f>
        <v>Fucheng County</v>
      </c>
      <c r="G1455" s="1">
        <v>1.31128E11</v>
      </c>
    </row>
    <row r="1456">
      <c r="A1456" s="1" t="s">
        <v>1142</v>
      </c>
      <c r="B1456" s="1" t="str">
        <f>IFERROR(__xludf.DUMMYFUNCTION("GOOGLETRANSLATE(A1382, ""zh-CN"", ""en"")"),"Hebei Province")</f>
        <v>Hebei Province</v>
      </c>
      <c r="C1456" s="1" t="s">
        <v>1153</v>
      </c>
      <c r="D1456" s="1" t="str">
        <f>IFERROR(__xludf.DUMMYFUNCTION("GOOGLETRANSLATE(C1456, ""zh-CN"", ""en"")"),"Hengshui City")</f>
        <v>Hengshui City</v>
      </c>
      <c r="E1456" s="1" t="s">
        <v>1339</v>
      </c>
      <c r="F1456" s="1" t="str">
        <f>IFERROR(__xludf.DUMMYFUNCTION("GOOGLETRANSLATE(E1456, ""zh-CN"", ""en"")"),"Hebei Hengshui High -tech Industrial Development Zone")</f>
        <v>Hebei Hengshui High -tech Industrial Development Zone</v>
      </c>
      <c r="G1456" s="1">
        <v>1.31171E11</v>
      </c>
    </row>
    <row r="1457">
      <c r="A1457" s="1" t="s">
        <v>1142</v>
      </c>
      <c r="B1457" s="1" t="str">
        <f>IFERROR(__xludf.DUMMYFUNCTION("GOOGLETRANSLATE(A1383, ""zh-CN"", ""en"")"),"Hebei Province")</f>
        <v>Hebei Province</v>
      </c>
      <c r="C1457" s="1" t="s">
        <v>1153</v>
      </c>
      <c r="D1457" s="1" t="str">
        <f>IFERROR(__xludf.DUMMYFUNCTION("GOOGLETRANSLATE(C1457, ""zh-CN"", ""en"")"),"Hengshui City")</f>
        <v>Hengshui City</v>
      </c>
      <c r="E1457" s="1" t="s">
        <v>1340</v>
      </c>
      <c r="F1457" s="1" t="str">
        <f>IFERROR(__xludf.DUMMYFUNCTION("GOOGLETRANSLATE(E1457, ""zh-CN"", ""en"")"),"Hengshui Binhu New District")</f>
        <v>Hengshui Binhu New District</v>
      </c>
      <c r="G1457" s="1">
        <v>1.31172E11</v>
      </c>
    </row>
    <row r="1458">
      <c r="A1458" s="1" t="s">
        <v>1142</v>
      </c>
      <c r="B1458" s="1" t="str">
        <f>IFERROR(__xludf.DUMMYFUNCTION("GOOGLETRANSLATE(A1384, ""zh-CN"", ""en"")"),"Hebei Province")</f>
        <v>Hebei Province</v>
      </c>
      <c r="C1458" s="1" t="s">
        <v>1153</v>
      </c>
      <c r="D1458" s="1" t="str">
        <f>IFERROR(__xludf.DUMMYFUNCTION("GOOGLETRANSLATE(C1458, ""zh-CN"", ""en"")"),"Hengshui City")</f>
        <v>Hengshui City</v>
      </c>
      <c r="E1458" s="1" t="s">
        <v>1341</v>
      </c>
      <c r="F1458" s="1" t="str">
        <f>IFERROR(__xludf.DUMMYFUNCTION("GOOGLETRANSLATE(E1458, ""zh-CN"", ""en"")"),"Shenzhou")</f>
        <v>Shenzhou</v>
      </c>
      <c r="G1458" s="1">
        <v>1.31182E11</v>
      </c>
    </row>
    <row r="1459">
      <c r="A1459" s="1" t="s">
        <v>1342</v>
      </c>
      <c r="B1459" s="1" t="str">
        <f>IFERROR(__xludf.DUMMYFUNCTION("GOOGLETRANSLATE(A1385, ""zh-CN"", ""en"")"),"Hebei Province")</f>
        <v>Hebei Province</v>
      </c>
      <c r="C1459" s="1" t="s">
        <v>8</v>
      </c>
      <c r="D1459" s="1" t="str">
        <f>IFERROR(__xludf.DUMMYFUNCTION("GOOGLETRANSLATE(C1459, ""zh-CN"", ""en"")"),"Na")</f>
        <v>Na</v>
      </c>
      <c r="E1459" s="1" t="s">
        <v>8</v>
      </c>
      <c r="F1459" s="1" t="str">
        <f>IFERROR(__xludf.DUMMYFUNCTION("GOOGLETRANSLATE(E1459, ""zh-CN"", ""en"")"),"Na")</f>
        <v>Na</v>
      </c>
      <c r="G1459" s="1">
        <v>37.0</v>
      </c>
    </row>
    <row r="1460">
      <c r="A1460" s="1" t="s">
        <v>1342</v>
      </c>
      <c r="B1460" s="1" t="str">
        <f>IFERROR(__xludf.DUMMYFUNCTION("GOOGLETRANSLATE(A1386, ""zh-CN"", ""en"")"),"Hebei Province")</f>
        <v>Hebei Province</v>
      </c>
      <c r="C1460" s="1" t="s">
        <v>1343</v>
      </c>
      <c r="D1460" s="1" t="str">
        <f>IFERROR(__xludf.DUMMYFUNCTION("GOOGLETRANSLATE(C1460, ""zh-CN"", ""en"")"),"Jinan City")</f>
        <v>Jinan City</v>
      </c>
      <c r="E1460" s="1" t="s">
        <v>8</v>
      </c>
      <c r="F1460" s="1" t="str">
        <f>IFERROR(__xludf.DUMMYFUNCTION("GOOGLETRANSLATE(E1460, ""zh-CN"", ""en"")"),"Na")</f>
        <v>Na</v>
      </c>
      <c r="G1460" s="1">
        <v>3.701E11</v>
      </c>
    </row>
    <row r="1461">
      <c r="A1461" s="1" t="s">
        <v>1342</v>
      </c>
      <c r="B1461" s="1" t="str">
        <f>IFERROR(__xludf.DUMMYFUNCTION("GOOGLETRANSLATE(A1387, ""zh-CN"", ""en"")"),"Hebei Province")</f>
        <v>Hebei Province</v>
      </c>
      <c r="C1461" s="1" t="s">
        <v>1344</v>
      </c>
      <c r="D1461" s="1" t="str">
        <f>IFERROR(__xludf.DUMMYFUNCTION("GOOGLETRANSLATE(C1461, ""zh-CN"", ""en"")"),"Qingdao")</f>
        <v>Qingdao</v>
      </c>
      <c r="E1461" s="1" t="s">
        <v>8</v>
      </c>
      <c r="F1461" s="1" t="str">
        <f>IFERROR(__xludf.DUMMYFUNCTION("GOOGLETRANSLATE(E1461, ""zh-CN"", ""en"")"),"Na")</f>
        <v>Na</v>
      </c>
      <c r="G1461" s="1">
        <v>3.702E11</v>
      </c>
    </row>
    <row r="1462">
      <c r="A1462" s="1" t="s">
        <v>1342</v>
      </c>
      <c r="B1462" s="1" t="str">
        <f>IFERROR(__xludf.DUMMYFUNCTION("GOOGLETRANSLATE(A1388, ""zh-CN"", ""en"")"),"Hebei Province")</f>
        <v>Hebei Province</v>
      </c>
      <c r="C1462" s="1" t="s">
        <v>1345</v>
      </c>
      <c r="D1462" s="1" t="str">
        <f>IFERROR(__xludf.DUMMYFUNCTION("GOOGLETRANSLATE(C1462, ""zh-CN"", ""en"")"),"Zibo")</f>
        <v>Zibo</v>
      </c>
      <c r="E1462" s="1" t="s">
        <v>8</v>
      </c>
      <c r="F1462" s="1" t="str">
        <f>IFERROR(__xludf.DUMMYFUNCTION("GOOGLETRANSLATE(E1462, ""zh-CN"", ""en"")"),"Na")</f>
        <v>Na</v>
      </c>
      <c r="G1462" s="1">
        <v>3.703E11</v>
      </c>
    </row>
    <row r="1463">
      <c r="A1463" s="1" t="s">
        <v>1342</v>
      </c>
      <c r="B1463" s="1" t="str">
        <f>IFERROR(__xludf.DUMMYFUNCTION("GOOGLETRANSLATE(A1389, ""zh-CN"", ""en"")"),"Hebei Province")</f>
        <v>Hebei Province</v>
      </c>
      <c r="C1463" s="1" t="s">
        <v>1346</v>
      </c>
      <c r="D1463" s="1" t="str">
        <f>IFERROR(__xludf.DUMMYFUNCTION("GOOGLETRANSLATE(C1463, ""zh-CN"", ""en"")"),"Zaozhuang City")</f>
        <v>Zaozhuang City</v>
      </c>
      <c r="E1463" s="1" t="s">
        <v>8</v>
      </c>
      <c r="F1463" s="1" t="str">
        <f>IFERROR(__xludf.DUMMYFUNCTION("GOOGLETRANSLATE(E1463, ""zh-CN"", ""en"")"),"Na")</f>
        <v>Na</v>
      </c>
      <c r="G1463" s="1">
        <v>3.704E11</v>
      </c>
    </row>
    <row r="1464">
      <c r="A1464" s="1" t="s">
        <v>1342</v>
      </c>
      <c r="B1464" s="1" t="str">
        <f>IFERROR(__xludf.DUMMYFUNCTION("GOOGLETRANSLATE(A1390, ""zh-CN"", ""en"")"),"Hebei Province")</f>
        <v>Hebei Province</v>
      </c>
      <c r="C1464" s="1" t="s">
        <v>1347</v>
      </c>
      <c r="D1464" s="1" t="str">
        <f>IFERROR(__xludf.DUMMYFUNCTION("GOOGLETRANSLATE(C1464, ""zh-CN"", ""en"")"),"Dongying City")</f>
        <v>Dongying City</v>
      </c>
      <c r="E1464" s="1" t="s">
        <v>8</v>
      </c>
      <c r="F1464" s="1" t="str">
        <f>IFERROR(__xludf.DUMMYFUNCTION("GOOGLETRANSLATE(E1464, ""zh-CN"", ""en"")"),"Na")</f>
        <v>Na</v>
      </c>
      <c r="G1464" s="1">
        <v>3.705E11</v>
      </c>
    </row>
    <row r="1465">
      <c r="A1465" s="1" t="s">
        <v>1342</v>
      </c>
      <c r="B1465" s="1" t="str">
        <f>IFERROR(__xludf.DUMMYFUNCTION("GOOGLETRANSLATE(A1391, ""zh-CN"", ""en"")"),"Hebei Province")</f>
        <v>Hebei Province</v>
      </c>
      <c r="C1465" s="1" t="s">
        <v>1348</v>
      </c>
      <c r="D1465" s="1" t="str">
        <f>IFERROR(__xludf.DUMMYFUNCTION("GOOGLETRANSLATE(C1465, ""zh-CN"", ""en"")"),"City of Yantai")</f>
        <v>City of Yantai</v>
      </c>
      <c r="E1465" s="1" t="s">
        <v>8</v>
      </c>
      <c r="F1465" s="1" t="str">
        <f>IFERROR(__xludf.DUMMYFUNCTION("GOOGLETRANSLATE(E1465, ""zh-CN"", ""en"")"),"Na")</f>
        <v>Na</v>
      </c>
      <c r="G1465" s="1">
        <v>3.706E11</v>
      </c>
    </row>
    <row r="1466">
      <c r="A1466" s="1" t="s">
        <v>1342</v>
      </c>
      <c r="B1466" s="1" t="str">
        <f>IFERROR(__xludf.DUMMYFUNCTION("GOOGLETRANSLATE(A1392, ""zh-CN"", ""en"")"),"Hebei Province")</f>
        <v>Hebei Province</v>
      </c>
      <c r="C1466" s="1" t="s">
        <v>1349</v>
      </c>
      <c r="D1466" s="1" t="str">
        <f>IFERROR(__xludf.DUMMYFUNCTION("GOOGLETRANSLATE(C1466, ""zh-CN"", ""en"")"),"Weifang")</f>
        <v>Weifang</v>
      </c>
      <c r="E1466" s="1" t="s">
        <v>8</v>
      </c>
      <c r="F1466" s="1" t="str">
        <f>IFERROR(__xludf.DUMMYFUNCTION("GOOGLETRANSLATE(E1466, ""zh-CN"", ""en"")"),"Na")</f>
        <v>Na</v>
      </c>
      <c r="G1466" s="1">
        <v>3.707E11</v>
      </c>
    </row>
    <row r="1467">
      <c r="A1467" s="1" t="s">
        <v>1342</v>
      </c>
      <c r="B1467" s="1" t="str">
        <f>IFERROR(__xludf.DUMMYFUNCTION("GOOGLETRANSLATE(A1393, ""zh-CN"", ""en"")"),"Hebei Province")</f>
        <v>Hebei Province</v>
      </c>
      <c r="C1467" s="1" t="s">
        <v>1350</v>
      </c>
      <c r="D1467" s="1" t="str">
        <f>IFERROR(__xludf.DUMMYFUNCTION("GOOGLETRANSLATE(C1467, ""zh-CN"", ""en"")"),"Jining City")</f>
        <v>Jining City</v>
      </c>
      <c r="E1467" s="1" t="s">
        <v>8</v>
      </c>
      <c r="F1467" s="1" t="str">
        <f>IFERROR(__xludf.DUMMYFUNCTION("GOOGLETRANSLATE(E1467, ""zh-CN"", ""en"")"),"Na")</f>
        <v>Na</v>
      </c>
      <c r="G1467" s="1">
        <v>3.708E11</v>
      </c>
    </row>
    <row r="1468">
      <c r="A1468" s="1" t="s">
        <v>1342</v>
      </c>
      <c r="B1468" s="1" t="str">
        <f>IFERROR(__xludf.DUMMYFUNCTION("GOOGLETRANSLATE(A1394, ""zh-CN"", ""en"")"),"Hebei Province")</f>
        <v>Hebei Province</v>
      </c>
      <c r="C1468" s="1" t="s">
        <v>1351</v>
      </c>
      <c r="D1468" s="1" t="str">
        <f>IFERROR(__xludf.DUMMYFUNCTION("GOOGLETRANSLATE(C1468, ""zh-CN"", ""en"")"),"Tai'an City")</f>
        <v>Tai'an City</v>
      </c>
      <c r="E1468" s="1" t="s">
        <v>8</v>
      </c>
      <c r="F1468" s="1" t="str">
        <f>IFERROR(__xludf.DUMMYFUNCTION("GOOGLETRANSLATE(E1468, ""zh-CN"", ""en"")"),"Na")</f>
        <v>Na</v>
      </c>
      <c r="G1468" s="1">
        <v>3.709E11</v>
      </c>
    </row>
    <row r="1469">
      <c r="A1469" s="1" t="s">
        <v>1342</v>
      </c>
      <c r="B1469" s="1" t="str">
        <f>IFERROR(__xludf.DUMMYFUNCTION("GOOGLETRANSLATE(A1395, ""zh-CN"", ""en"")"),"Hebei Province")</f>
        <v>Hebei Province</v>
      </c>
      <c r="C1469" s="1" t="s">
        <v>1352</v>
      </c>
      <c r="D1469" s="1" t="str">
        <f>IFERROR(__xludf.DUMMYFUNCTION("GOOGLETRANSLATE(C1469, ""zh-CN"", ""en"")"),"Weihai")</f>
        <v>Weihai</v>
      </c>
      <c r="E1469" s="1" t="s">
        <v>8</v>
      </c>
      <c r="F1469" s="1" t="str">
        <f>IFERROR(__xludf.DUMMYFUNCTION("GOOGLETRANSLATE(E1469, ""zh-CN"", ""en"")"),"Na")</f>
        <v>Na</v>
      </c>
      <c r="G1469" s="1">
        <v>3.71E11</v>
      </c>
    </row>
    <row r="1470">
      <c r="A1470" s="1" t="s">
        <v>1342</v>
      </c>
      <c r="B1470" s="1" t="str">
        <f>IFERROR(__xludf.DUMMYFUNCTION("GOOGLETRANSLATE(A1396, ""zh-CN"", ""en"")"),"Hebei Province")</f>
        <v>Hebei Province</v>
      </c>
      <c r="C1470" s="1" t="s">
        <v>1353</v>
      </c>
      <c r="D1470" s="1" t="str">
        <f>IFERROR(__xludf.DUMMYFUNCTION("GOOGLETRANSLATE(C1470, ""zh-CN"", ""en"")"),"Rizhao City")</f>
        <v>Rizhao City</v>
      </c>
      <c r="E1470" s="1" t="s">
        <v>8</v>
      </c>
      <c r="F1470" s="1" t="str">
        <f>IFERROR(__xludf.DUMMYFUNCTION("GOOGLETRANSLATE(E1470, ""zh-CN"", ""en"")"),"Na")</f>
        <v>Na</v>
      </c>
      <c r="G1470" s="1">
        <v>3.711E11</v>
      </c>
    </row>
    <row r="1471">
      <c r="A1471" s="1" t="s">
        <v>1342</v>
      </c>
      <c r="B1471" s="1" t="str">
        <f>IFERROR(__xludf.DUMMYFUNCTION("GOOGLETRANSLATE(A1397, ""zh-CN"", ""en"")"),"Hebei Province")</f>
        <v>Hebei Province</v>
      </c>
      <c r="C1471" s="1" t="s">
        <v>1354</v>
      </c>
      <c r="D1471" s="1" t="str">
        <f>IFERROR(__xludf.DUMMYFUNCTION("GOOGLETRANSLATE(C1471, ""zh-CN"", ""en"")"),"Linyi City")</f>
        <v>Linyi City</v>
      </c>
      <c r="E1471" s="1" t="s">
        <v>8</v>
      </c>
      <c r="F1471" s="1" t="str">
        <f>IFERROR(__xludf.DUMMYFUNCTION("GOOGLETRANSLATE(E1471, ""zh-CN"", ""en"")"),"Na")</f>
        <v>Na</v>
      </c>
      <c r="G1471" s="1">
        <v>3.713E11</v>
      </c>
    </row>
    <row r="1472">
      <c r="A1472" s="1" t="s">
        <v>1342</v>
      </c>
      <c r="B1472" s="1" t="str">
        <f>IFERROR(__xludf.DUMMYFUNCTION("GOOGLETRANSLATE(A1398, ""zh-CN"", ""en"")"),"Hebei Province")</f>
        <v>Hebei Province</v>
      </c>
      <c r="C1472" s="1" t="s">
        <v>1355</v>
      </c>
      <c r="D1472" s="1" t="str">
        <f>IFERROR(__xludf.DUMMYFUNCTION("GOOGLETRANSLATE(C1472, ""zh-CN"", ""en"")"),"Texas")</f>
        <v>Texas</v>
      </c>
      <c r="E1472" s="1" t="s">
        <v>8</v>
      </c>
      <c r="F1472" s="1" t="str">
        <f>IFERROR(__xludf.DUMMYFUNCTION("GOOGLETRANSLATE(E1472, ""zh-CN"", ""en"")"),"Na")</f>
        <v>Na</v>
      </c>
      <c r="G1472" s="1">
        <v>3.714E11</v>
      </c>
    </row>
    <row r="1473">
      <c r="A1473" s="1" t="s">
        <v>1342</v>
      </c>
      <c r="B1473" s="1" t="str">
        <f>IFERROR(__xludf.DUMMYFUNCTION("GOOGLETRANSLATE(A1399, ""zh-CN"", ""en"")"),"Hebei Province")</f>
        <v>Hebei Province</v>
      </c>
      <c r="C1473" s="1" t="s">
        <v>1356</v>
      </c>
      <c r="D1473" s="1" t="str">
        <f>IFERROR(__xludf.DUMMYFUNCTION("GOOGLETRANSLATE(C1473, ""zh-CN"", ""en"")"),"Chat cities")</f>
        <v>Chat cities</v>
      </c>
      <c r="E1473" s="1" t="s">
        <v>8</v>
      </c>
      <c r="F1473" s="1" t="str">
        <f>IFERROR(__xludf.DUMMYFUNCTION("GOOGLETRANSLATE(E1473, ""zh-CN"", ""en"")"),"Na")</f>
        <v>Na</v>
      </c>
      <c r="G1473" s="1">
        <v>3.715E11</v>
      </c>
    </row>
    <row r="1474">
      <c r="A1474" s="1" t="s">
        <v>1342</v>
      </c>
      <c r="B1474" s="1" t="str">
        <f>IFERROR(__xludf.DUMMYFUNCTION("GOOGLETRANSLATE(A1400, ""zh-CN"", ""en"")"),"Hebei Province")</f>
        <v>Hebei Province</v>
      </c>
      <c r="C1474" s="1" t="s">
        <v>1357</v>
      </c>
      <c r="D1474" s="1" t="str">
        <f>IFERROR(__xludf.DUMMYFUNCTION("GOOGLETRANSLATE(C1474, ""zh-CN"", ""en"")"),"Binzhou City")</f>
        <v>Binzhou City</v>
      </c>
      <c r="E1474" s="1" t="s">
        <v>8</v>
      </c>
      <c r="F1474" s="1" t="str">
        <f>IFERROR(__xludf.DUMMYFUNCTION("GOOGLETRANSLATE(E1474, ""zh-CN"", ""en"")"),"Na")</f>
        <v>Na</v>
      </c>
      <c r="G1474" s="1">
        <v>3.716E11</v>
      </c>
    </row>
    <row r="1475">
      <c r="A1475" s="1" t="s">
        <v>1342</v>
      </c>
      <c r="B1475" s="1" t="str">
        <f>IFERROR(__xludf.DUMMYFUNCTION("GOOGLETRANSLATE(A1401, ""zh-CN"", ""en"")"),"Hebei Province")</f>
        <v>Hebei Province</v>
      </c>
      <c r="C1475" s="1" t="s">
        <v>1358</v>
      </c>
      <c r="D1475" s="1" t="str">
        <f>IFERROR(__xludf.DUMMYFUNCTION("GOOGLETRANSLATE(C1475, ""zh-CN"", ""en"")"),"Heze City")</f>
        <v>Heze City</v>
      </c>
      <c r="E1475" s="1" t="s">
        <v>8</v>
      </c>
      <c r="F1475" s="1" t="str">
        <f>IFERROR(__xludf.DUMMYFUNCTION("GOOGLETRANSLATE(E1475, ""zh-CN"", ""en"")"),"Na")</f>
        <v>Na</v>
      </c>
      <c r="G1475" s="1">
        <v>3.717E11</v>
      </c>
    </row>
    <row r="1476">
      <c r="A1476" s="1" t="s">
        <v>1342</v>
      </c>
      <c r="B1476" s="1" t="str">
        <f>IFERROR(__xludf.DUMMYFUNCTION("GOOGLETRANSLATE(A1402, ""zh-CN"", ""en"")"),"Hebei Province")</f>
        <v>Hebei Province</v>
      </c>
      <c r="C1476" s="1" t="s">
        <v>1343</v>
      </c>
      <c r="D1476" s="1" t="str">
        <f>IFERROR(__xludf.DUMMYFUNCTION("GOOGLETRANSLATE(C1476, ""zh-CN"", ""en"")"),"Jinan City")</f>
        <v>Jinan City</v>
      </c>
      <c r="E1476" s="1" t="s">
        <v>24</v>
      </c>
      <c r="F1476" s="1" t="str">
        <f>IFERROR(__xludf.DUMMYFUNCTION("GOOGLETRANSLATE(E1476, ""zh-CN"", ""en"")"),"City area")</f>
        <v>City area</v>
      </c>
      <c r="G1476" s="1">
        <v>3.70101E11</v>
      </c>
    </row>
    <row r="1477">
      <c r="A1477" s="1" t="s">
        <v>1342</v>
      </c>
      <c r="B1477" s="1" t="str">
        <f>IFERROR(__xludf.DUMMYFUNCTION("GOOGLETRANSLATE(A1403, ""zh-CN"", ""en"")"),"Hebei Province")</f>
        <v>Hebei Province</v>
      </c>
      <c r="C1477" s="1" t="s">
        <v>1343</v>
      </c>
      <c r="D1477" s="1" t="str">
        <f>IFERROR(__xludf.DUMMYFUNCTION("GOOGLETRANSLATE(C1477, ""zh-CN"", ""en"")"),"Jinan City")</f>
        <v>Jinan City</v>
      </c>
      <c r="E1477" s="1" t="s">
        <v>1359</v>
      </c>
      <c r="F1477" s="1" t="str">
        <f>IFERROR(__xludf.DUMMYFUNCTION("GOOGLETRANSLATE(E1477, ""zh-CN"", ""en"")"),"Xiaxia District")</f>
        <v>Xiaxia District</v>
      </c>
      <c r="G1477" s="1">
        <v>3.70102E11</v>
      </c>
    </row>
    <row r="1478">
      <c r="A1478" s="1" t="s">
        <v>1342</v>
      </c>
      <c r="B1478" s="1" t="str">
        <f>IFERROR(__xludf.DUMMYFUNCTION("GOOGLETRANSLATE(A1404, ""zh-CN"", ""en"")"),"Hebei Province")</f>
        <v>Hebei Province</v>
      </c>
      <c r="C1478" s="1" t="s">
        <v>1343</v>
      </c>
      <c r="D1478" s="1" t="str">
        <f>IFERROR(__xludf.DUMMYFUNCTION("GOOGLETRANSLATE(C1478, ""zh-CN"", ""en"")"),"Jinan City")</f>
        <v>Jinan City</v>
      </c>
      <c r="E1478" s="1" t="s">
        <v>1360</v>
      </c>
      <c r="F1478" s="1" t="str">
        <f>IFERROR(__xludf.DUMMYFUNCTION("GOOGLETRANSLATE(E1478, ""zh-CN"", ""en"")"),"Central area")</f>
        <v>Central area</v>
      </c>
      <c r="G1478" s="1">
        <v>3.70103E11</v>
      </c>
    </row>
    <row r="1479">
      <c r="A1479" s="1" t="s">
        <v>1342</v>
      </c>
      <c r="B1479" s="1" t="str">
        <f>IFERROR(__xludf.DUMMYFUNCTION("GOOGLETRANSLATE(A1405, ""zh-CN"", ""en"")"),"Hebei Province")</f>
        <v>Hebei Province</v>
      </c>
      <c r="C1479" s="1" t="s">
        <v>1343</v>
      </c>
      <c r="D1479" s="1" t="str">
        <f>IFERROR(__xludf.DUMMYFUNCTION("GOOGLETRANSLATE(C1479, ""zh-CN"", ""en"")"),"Jinan City")</f>
        <v>Jinan City</v>
      </c>
      <c r="E1479" s="1" t="s">
        <v>1361</v>
      </c>
      <c r="F1479" s="1" t="str">
        <f>IFERROR(__xludf.DUMMYFUNCTION("GOOGLETRANSLATE(E1479, ""zh-CN"", ""en"")"),"Huaiyin District")</f>
        <v>Huaiyin District</v>
      </c>
      <c r="G1479" s="1">
        <v>3.70104E11</v>
      </c>
    </row>
    <row r="1480">
      <c r="A1480" s="1" t="s">
        <v>1342</v>
      </c>
      <c r="B1480" s="1" t="str">
        <f>IFERROR(__xludf.DUMMYFUNCTION("GOOGLETRANSLATE(A1406, ""zh-CN"", ""en"")"),"Hebei Province")</f>
        <v>Hebei Province</v>
      </c>
      <c r="C1480" s="1" t="s">
        <v>1343</v>
      </c>
      <c r="D1480" s="1" t="str">
        <f>IFERROR(__xludf.DUMMYFUNCTION("GOOGLETRANSLATE(C1480, ""zh-CN"", ""en"")"),"Jinan City")</f>
        <v>Jinan City</v>
      </c>
      <c r="E1480" s="1" t="s">
        <v>1362</v>
      </c>
      <c r="F1480" s="1" t="str">
        <f>IFERROR(__xludf.DUMMYFUNCTION("GOOGLETRANSLATE(E1480, ""zh-CN"", ""en"")"),"Flying area")</f>
        <v>Flying area</v>
      </c>
      <c r="G1480" s="1">
        <v>3.70105E11</v>
      </c>
    </row>
    <row r="1481">
      <c r="A1481" s="1" t="s">
        <v>1342</v>
      </c>
      <c r="B1481" s="1" t="str">
        <f>IFERROR(__xludf.DUMMYFUNCTION("GOOGLETRANSLATE(A1407, ""zh-CN"", ""en"")"),"Hebei Province")</f>
        <v>Hebei Province</v>
      </c>
      <c r="C1481" s="1" t="s">
        <v>1343</v>
      </c>
      <c r="D1481" s="1" t="str">
        <f>IFERROR(__xludf.DUMMYFUNCTION("GOOGLETRANSLATE(C1481, ""zh-CN"", ""en"")"),"Jinan City")</f>
        <v>Jinan City</v>
      </c>
      <c r="E1481" s="1" t="s">
        <v>1363</v>
      </c>
      <c r="F1481" s="1" t="str">
        <f>IFERROR(__xludf.DUMMYFUNCTION("GOOGLETRANSLATE(E1481, ""zh-CN"", ""en"")"),"Calendar area")</f>
        <v>Calendar area</v>
      </c>
      <c r="G1481" s="1">
        <v>3.70112E11</v>
      </c>
    </row>
    <row r="1482">
      <c r="A1482" s="1" t="s">
        <v>1342</v>
      </c>
      <c r="B1482" s="1" t="str">
        <f>IFERROR(__xludf.DUMMYFUNCTION("GOOGLETRANSLATE(A1408, ""zh-CN"", ""en"")"),"Hebei Province")</f>
        <v>Hebei Province</v>
      </c>
      <c r="C1482" s="1" t="s">
        <v>1343</v>
      </c>
      <c r="D1482" s="1" t="str">
        <f>IFERROR(__xludf.DUMMYFUNCTION("GOOGLETRANSLATE(C1482, ""zh-CN"", ""en"")"),"Jinan City")</f>
        <v>Jinan City</v>
      </c>
      <c r="E1482" s="1" t="s">
        <v>1364</v>
      </c>
      <c r="F1482" s="1" t="str">
        <f>IFERROR(__xludf.DUMMYFUNCTION("GOOGLETRANSLATE(E1482, ""zh-CN"", ""en"")"),"Changqing District")</f>
        <v>Changqing District</v>
      </c>
      <c r="G1482" s="1">
        <v>3.70113E11</v>
      </c>
    </row>
    <row r="1483">
      <c r="A1483" s="1" t="s">
        <v>1342</v>
      </c>
      <c r="B1483" s="1" t="str">
        <f>IFERROR(__xludf.DUMMYFUNCTION("GOOGLETRANSLATE(A1409, ""zh-CN"", ""en"")"),"Hebei Province")</f>
        <v>Hebei Province</v>
      </c>
      <c r="C1483" s="1" t="s">
        <v>1343</v>
      </c>
      <c r="D1483" s="1" t="str">
        <f>IFERROR(__xludf.DUMMYFUNCTION("GOOGLETRANSLATE(C1483, ""zh-CN"", ""en"")"),"Jinan City")</f>
        <v>Jinan City</v>
      </c>
      <c r="E1483" s="1" t="s">
        <v>1365</v>
      </c>
      <c r="F1483" s="1" t="str">
        <f>IFERROR(__xludf.DUMMYFUNCTION("GOOGLETRANSLATE(E1483, ""zh-CN"", ""en"")"),"Zhangqiu District")</f>
        <v>Zhangqiu District</v>
      </c>
      <c r="G1483" s="1">
        <v>3.70114E11</v>
      </c>
    </row>
    <row r="1484">
      <c r="A1484" s="1" t="s">
        <v>1342</v>
      </c>
      <c r="B1484" s="1" t="str">
        <f>IFERROR(__xludf.DUMMYFUNCTION("GOOGLETRANSLATE(A1410, ""zh-CN"", ""en"")"),"Hebei Province")</f>
        <v>Hebei Province</v>
      </c>
      <c r="C1484" s="1" t="s">
        <v>1343</v>
      </c>
      <c r="D1484" s="1" t="str">
        <f>IFERROR(__xludf.DUMMYFUNCTION("GOOGLETRANSLATE(C1484, ""zh-CN"", ""en"")"),"Jinan City")</f>
        <v>Jinan City</v>
      </c>
      <c r="E1484" s="1" t="s">
        <v>1366</v>
      </c>
      <c r="F1484" s="1" t="str">
        <f>IFERROR(__xludf.DUMMYFUNCTION("GOOGLETRANSLATE(E1484, ""zh-CN"", ""en"")"),"Jiyang District")</f>
        <v>Jiyang District</v>
      </c>
      <c r="G1484" s="1">
        <v>3.70115E11</v>
      </c>
    </row>
    <row r="1485">
      <c r="A1485" s="1" t="s">
        <v>1342</v>
      </c>
      <c r="B1485" s="1" t="str">
        <f>IFERROR(__xludf.DUMMYFUNCTION("GOOGLETRANSLATE(A1411, ""zh-CN"", ""en"")"),"Hebei Province")</f>
        <v>Hebei Province</v>
      </c>
      <c r="C1485" s="1" t="s">
        <v>1343</v>
      </c>
      <c r="D1485" s="1" t="str">
        <f>IFERROR(__xludf.DUMMYFUNCTION("GOOGLETRANSLATE(C1485, ""zh-CN"", ""en"")"),"Jinan City")</f>
        <v>Jinan City</v>
      </c>
      <c r="E1485" s="1" t="s">
        <v>1367</v>
      </c>
      <c r="F1485" s="1" t="str">
        <f>IFERROR(__xludf.DUMMYFUNCTION("GOOGLETRANSLATE(E1485, ""zh-CN"", ""en"")"),"Laiwu District")</f>
        <v>Laiwu District</v>
      </c>
      <c r="G1485" s="1">
        <v>3.70116E11</v>
      </c>
    </row>
    <row r="1486">
      <c r="A1486" s="1" t="s">
        <v>1342</v>
      </c>
      <c r="B1486" s="1" t="str">
        <f>IFERROR(__xludf.DUMMYFUNCTION("GOOGLETRANSLATE(A1412, ""zh-CN"", ""en"")"),"Hebei Province")</f>
        <v>Hebei Province</v>
      </c>
      <c r="C1486" s="1" t="s">
        <v>1343</v>
      </c>
      <c r="D1486" s="1" t="str">
        <f>IFERROR(__xludf.DUMMYFUNCTION("GOOGLETRANSLATE(C1486, ""zh-CN"", ""en"")"),"Jinan City")</f>
        <v>Jinan City</v>
      </c>
      <c r="E1486" s="1" t="s">
        <v>1368</v>
      </c>
      <c r="F1486" s="1" t="str">
        <f>IFERROR(__xludf.DUMMYFUNCTION("GOOGLETRANSLATE(E1486, ""zh-CN"", ""en"")"),"Steel city")</f>
        <v>Steel city</v>
      </c>
      <c r="G1486" s="1">
        <v>3.70117E11</v>
      </c>
    </row>
    <row r="1487">
      <c r="A1487" s="1" t="s">
        <v>1342</v>
      </c>
      <c r="B1487" s="1" t="str">
        <f>IFERROR(__xludf.DUMMYFUNCTION("GOOGLETRANSLATE(A1413, ""zh-CN"", ""en"")"),"Hebei Province")</f>
        <v>Hebei Province</v>
      </c>
      <c r="C1487" s="1" t="s">
        <v>1343</v>
      </c>
      <c r="D1487" s="1" t="str">
        <f>IFERROR(__xludf.DUMMYFUNCTION("GOOGLETRANSLATE(C1487, ""zh-CN"", ""en"")"),"Jinan City")</f>
        <v>Jinan City</v>
      </c>
      <c r="E1487" s="1" t="s">
        <v>1369</v>
      </c>
      <c r="F1487" s="1" t="str">
        <f>IFERROR(__xludf.DUMMYFUNCTION("GOOGLETRANSLATE(E1487, ""zh-CN"", ""en"")"),"Pingyin County")</f>
        <v>Pingyin County</v>
      </c>
      <c r="G1487" s="1">
        <v>3.70124E11</v>
      </c>
    </row>
    <row r="1488">
      <c r="A1488" s="1" t="s">
        <v>1342</v>
      </c>
      <c r="B1488" s="1" t="str">
        <f>IFERROR(__xludf.DUMMYFUNCTION("GOOGLETRANSLATE(A1414, ""zh-CN"", ""en"")"),"Hebei Province")</f>
        <v>Hebei Province</v>
      </c>
      <c r="C1488" s="1" t="s">
        <v>1343</v>
      </c>
      <c r="D1488" s="1" t="str">
        <f>IFERROR(__xludf.DUMMYFUNCTION("GOOGLETRANSLATE(C1488, ""zh-CN"", ""en"")"),"Jinan City")</f>
        <v>Jinan City</v>
      </c>
      <c r="E1488" s="1" t="s">
        <v>1370</v>
      </c>
      <c r="F1488" s="1" t="str">
        <f>IFERROR(__xludf.DUMMYFUNCTION("GOOGLETRANSLATE(E1488, ""zh-CN"", ""en"")"),"Shanghe County")</f>
        <v>Shanghe County</v>
      </c>
      <c r="G1488" s="1">
        <v>3.70126E11</v>
      </c>
    </row>
    <row r="1489">
      <c r="A1489" s="1" t="s">
        <v>1342</v>
      </c>
      <c r="B1489" s="1" t="str">
        <f>IFERROR(__xludf.DUMMYFUNCTION("GOOGLETRANSLATE(A1415, ""zh-CN"", ""en"")"),"Hebei Province")</f>
        <v>Hebei Province</v>
      </c>
      <c r="C1489" s="1" t="s">
        <v>1343</v>
      </c>
      <c r="D1489" s="1" t="str">
        <f>IFERROR(__xludf.DUMMYFUNCTION("GOOGLETRANSLATE(C1489, ""zh-CN"", ""en"")"),"Jinan City")</f>
        <v>Jinan City</v>
      </c>
      <c r="E1489" s="1" t="s">
        <v>1371</v>
      </c>
      <c r="F1489" s="1" t="str">
        <f>IFERROR(__xludf.DUMMYFUNCTION("GOOGLETRANSLATE(E1489, ""zh-CN"", ""en"")"),"Jinan High -tech Industrial Development Zone")</f>
        <v>Jinan High -tech Industrial Development Zone</v>
      </c>
      <c r="G1489" s="1">
        <v>3.70171E11</v>
      </c>
    </row>
    <row r="1490">
      <c r="A1490" s="1" t="s">
        <v>1342</v>
      </c>
      <c r="B1490" s="1" t="str">
        <f>IFERROR(__xludf.DUMMYFUNCTION("GOOGLETRANSLATE(A1416, ""zh-CN"", ""en"")"),"Hebei Province")</f>
        <v>Hebei Province</v>
      </c>
      <c r="C1490" s="1" t="s">
        <v>1344</v>
      </c>
      <c r="D1490" s="1" t="str">
        <f>IFERROR(__xludf.DUMMYFUNCTION("GOOGLETRANSLATE(C1490, ""zh-CN"", ""en"")"),"Qingdao")</f>
        <v>Qingdao</v>
      </c>
      <c r="E1490" s="1" t="s">
        <v>24</v>
      </c>
      <c r="F1490" s="1" t="str">
        <f>IFERROR(__xludf.DUMMYFUNCTION("GOOGLETRANSLATE(E1490, ""zh-CN"", ""en"")"),"City area")</f>
        <v>City area</v>
      </c>
      <c r="G1490" s="1">
        <v>3.70201E11</v>
      </c>
    </row>
    <row r="1491">
      <c r="A1491" s="1" t="s">
        <v>1342</v>
      </c>
      <c r="B1491" s="1" t="str">
        <f>IFERROR(__xludf.DUMMYFUNCTION("GOOGLETRANSLATE(A1417, ""zh-CN"", ""en"")"),"Hebei Province")</f>
        <v>Hebei Province</v>
      </c>
      <c r="C1491" s="1" t="s">
        <v>1344</v>
      </c>
      <c r="D1491" s="1" t="str">
        <f>IFERROR(__xludf.DUMMYFUNCTION("GOOGLETRANSLATE(C1491, ""zh-CN"", ""en"")"),"Qingdao")</f>
        <v>Qingdao</v>
      </c>
      <c r="E1491" s="1" t="s">
        <v>1372</v>
      </c>
      <c r="F1491" s="1" t="str">
        <f>IFERROR(__xludf.DUMMYFUNCTION("GOOGLETRANSLATE(E1491, ""zh-CN"", ""en"")"),"South of the city")</f>
        <v>South of the city</v>
      </c>
      <c r="G1491" s="1">
        <v>3.70202E11</v>
      </c>
    </row>
    <row r="1492">
      <c r="A1492" s="1" t="s">
        <v>1342</v>
      </c>
      <c r="B1492" s="1" t="str">
        <f>IFERROR(__xludf.DUMMYFUNCTION("GOOGLETRANSLATE(A1418, ""zh-CN"", ""en"")"),"Hebei Province")</f>
        <v>Hebei Province</v>
      </c>
      <c r="C1492" s="1" t="s">
        <v>1344</v>
      </c>
      <c r="D1492" s="1" t="str">
        <f>IFERROR(__xludf.DUMMYFUNCTION("GOOGLETRANSLATE(C1492, ""zh-CN"", ""en"")"),"Qingdao")</f>
        <v>Qingdao</v>
      </c>
      <c r="E1492" s="1" t="s">
        <v>1373</v>
      </c>
      <c r="F1492" s="1" t="str">
        <f>IFERROR(__xludf.DUMMYFUNCTION("GOOGLETRANSLATE(E1492, ""zh-CN"", ""en"")"),"Northern district")</f>
        <v>Northern district</v>
      </c>
      <c r="G1492" s="1">
        <v>3.70203E11</v>
      </c>
    </row>
    <row r="1493">
      <c r="A1493" s="1" t="s">
        <v>1342</v>
      </c>
      <c r="B1493" s="1" t="str">
        <f>IFERROR(__xludf.DUMMYFUNCTION("GOOGLETRANSLATE(A1419, ""zh-CN"", ""en"")"),"Hebei Province")</f>
        <v>Hebei Province</v>
      </c>
      <c r="C1493" s="1" t="s">
        <v>1344</v>
      </c>
      <c r="D1493" s="1" t="str">
        <f>IFERROR(__xludf.DUMMYFUNCTION("GOOGLETRANSLATE(C1493, ""zh-CN"", ""en"")"),"Qingdao")</f>
        <v>Qingdao</v>
      </c>
      <c r="E1493" s="1" t="s">
        <v>1374</v>
      </c>
      <c r="F1493" s="1" t="str">
        <f>IFERROR(__xludf.DUMMYFUNCTION("GOOGLETRANSLATE(E1493, ""zh-CN"", ""en"")"),"Huangdao District")</f>
        <v>Huangdao District</v>
      </c>
      <c r="G1493" s="1">
        <v>3.70211E11</v>
      </c>
    </row>
    <row r="1494">
      <c r="A1494" s="1" t="s">
        <v>1342</v>
      </c>
      <c r="B1494" s="1" t="str">
        <f>IFERROR(__xludf.DUMMYFUNCTION("GOOGLETRANSLATE(A1420, ""zh-CN"", ""en"")"),"Hebei Province")</f>
        <v>Hebei Province</v>
      </c>
      <c r="C1494" s="1" t="s">
        <v>1344</v>
      </c>
      <c r="D1494" s="1" t="str">
        <f>IFERROR(__xludf.DUMMYFUNCTION("GOOGLETRANSLATE(C1494, ""zh-CN"", ""en"")"),"Qingdao")</f>
        <v>Qingdao</v>
      </c>
      <c r="E1494" s="1" t="s">
        <v>1375</v>
      </c>
      <c r="F1494" s="1" t="str">
        <f>IFERROR(__xludf.DUMMYFUNCTION("GOOGLETRANSLATE(E1494, ""zh-CN"", ""en"")"),"Laoshan District")</f>
        <v>Laoshan District</v>
      </c>
      <c r="G1494" s="1">
        <v>3.70212E11</v>
      </c>
    </row>
    <row r="1495">
      <c r="A1495" s="1" t="s">
        <v>1342</v>
      </c>
      <c r="B1495" s="1" t="str">
        <f>IFERROR(__xludf.DUMMYFUNCTION("GOOGLETRANSLATE(A1421, ""zh-CN"", ""en"")"),"Hebei Province")</f>
        <v>Hebei Province</v>
      </c>
      <c r="C1495" s="1" t="s">
        <v>1344</v>
      </c>
      <c r="D1495" s="1" t="str">
        <f>IFERROR(__xludf.DUMMYFUNCTION("GOOGLETRANSLATE(C1495, ""zh-CN"", ""en"")"),"Qingdao")</f>
        <v>Qingdao</v>
      </c>
      <c r="E1495" s="1" t="s">
        <v>1376</v>
      </c>
      <c r="F1495" s="1" t="str">
        <f>IFERROR(__xludf.DUMMYFUNCTION("GOOGLETRANSLATE(E1495, ""zh-CN"", ""en"")"),"Licang District")</f>
        <v>Licang District</v>
      </c>
      <c r="G1495" s="1">
        <v>3.70213E11</v>
      </c>
    </row>
    <row r="1496">
      <c r="A1496" s="1" t="s">
        <v>1342</v>
      </c>
      <c r="B1496" s="1" t="str">
        <f>IFERROR(__xludf.DUMMYFUNCTION("GOOGLETRANSLATE(A1422, ""zh-CN"", ""en"")"),"Hebei Province")</f>
        <v>Hebei Province</v>
      </c>
      <c r="C1496" s="1" t="s">
        <v>1344</v>
      </c>
      <c r="D1496" s="1" t="str">
        <f>IFERROR(__xludf.DUMMYFUNCTION("GOOGLETRANSLATE(C1496, ""zh-CN"", ""en"")"),"Qingdao")</f>
        <v>Qingdao</v>
      </c>
      <c r="E1496" s="1" t="s">
        <v>1377</v>
      </c>
      <c r="F1496" s="1" t="str">
        <f>IFERROR(__xludf.DUMMYFUNCTION("GOOGLETRANSLATE(E1496, ""zh-CN"", ""en"")"),"Chengyang District")</f>
        <v>Chengyang District</v>
      </c>
      <c r="G1496" s="1">
        <v>3.70214E11</v>
      </c>
    </row>
    <row r="1497">
      <c r="A1497" s="1" t="s">
        <v>1342</v>
      </c>
      <c r="B1497" s="1" t="str">
        <f>IFERROR(__xludf.DUMMYFUNCTION("GOOGLETRANSLATE(A1423, ""zh-CN"", ""en"")"),"Hebei Province")</f>
        <v>Hebei Province</v>
      </c>
      <c r="C1497" s="1" t="s">
        <v>1344</v>
      </c>
      <c r="D1497" s="1" t="str">
        <f>IFERROR(__xludf.DUMMYFUNCTION("GOOGLETRANSLATE(C1497, ""zh-CN"", ""en"")"),"Qingdao")</f>
        <v>Qingdao</v>
      </c>
      <c r="E1497" s="1" t="s">
        <v>1378</v>
      </c>
      <c r="F1497" s="1" t="str">
        <f>IFERROR(__xludf.DUMMYFUNCTION("GOOGLETRANSLATE(E1497, ""zh-CN"", ""en"")"),"Jimo District")</f>
        <v>Jimo District</v>
      </c>
      <c r="G1497" s="1">
        <v>3.70215E11</v>
      </c>
    </row>
    <row r="1498">
      <c r="A1498" s="1" t="s">
        <v>1342</v>
      </c>
      <c r="B1498" s="1" t="str">
        <f>IFERROR(__xludf.DUMMYFUNCTION("GOOGLETRANSLATE(A1424, ""zh-CN"", ""en"")"),"Hebei Province")</f>
        <v>Hebei Province</v>
      </c>
      <c r="C1498" s="1" t="s">
        <v>1344</v>
      </c>
      <c r="D1498" s="1" t="str">
        <f>IFERROR(__xludf.DUMMYFUNCTION("GOOGLETRANSLATE(C1498, ""zh-CN"", ""en"")"),"Qingdao")</f>
        <v>Qingdao</v>
      </c>
      <c r="E1498" s="1" t="s">
        <v>1379</v>
      </c>
      <c r="F1498" s="1" t="str">
        <f>IFERROR(__xludf.DUMMYFUNCTION("GOOGLETRANSLATE(E1498, ""zh-CN"", ""en"")"),"Qingdao High -tech Industrial Development Zone")</f>
        <v>Qingdao High -tech Industrial Development Zone</v>
      </c>
      <c r="G1498" s="1">
        <v>3.70271E11</v>
      </c>
    </row>
    <row r="1499">
      <c r="A1499" s="1" t="s">
        <v>1342</v>
      </c>
      <c r="B1499" s="1" t="str">
        <f>IFERROR(__xludf.DUMMYFUNCTION("GOOGLETRANSLATE(A1425, ""zh-CN"", ""en"")"),"Hebei Province")</f>
        <v>Hebei Province</v>
      </c>
      <c r="C1499" s="1" t="s">
        <v>1344</v>
      </c>
      <c r="D1499" s="1" t="str">
        <f>IFERROR(__xludf.DUMMYFUNCTION("GOOGLETRANSLATE(C1499, ""zh-CN"", ""en"")"),"Qingdao")</f>
        <v>Qingdao</v>
      </c>
      <c r="E1499" s="1" t="s">
        <v>1380</v>
      </c>
      <c r="F1499" s="1" t="str">
        <f>IFERROR(__xludf.DUMMYFUNCTION("GOOGLETRANSLATE(E1499, ""zh-CN"", ""en"")"),"Jiaozhou")</f>
        <v>Jiaozhou</v>
      </c>
      <c r="G1499" s="1">
        <v>3.70281E11</v>
      </c>
    </row>
    <row r="1500">
      <c r="A1500" s="1" t="s">
        <v>1342</v>
      </c>
      <c r="B1500" s="1" t="str">
        <f>IFERROR(__xludf.DUMMYFUNCTION("GOOGLETRANSLATE(A1426, ""zh-CN"", ""en"")"),"Hebei Province")</f>
        <v>Hebei Province</v>
      </c>
      <c r="C1500" s="1" t="s">
        <v>1344</v>
      </c>
      <c r="D1500" s="1" t="str">
        <f>IFERROR(__xludf.DUMMYFUNCTION("GOOGLETRANSLATE(C1500, ""zh-CN"", ""en"")"),"Qingdao")</f>
        <v>Qingdao</v>
      </c>
      <c r="E1500" s="1" t="s">
        <v>1381</v>
      </c>
      <c r="F1500" s="1" t="str">
        <f>IFERROR(__xludf.DUMMYFUNCTION("GOOGLETRANSLATE(E1500, ""zh-CN"", ""en"")"),"Pingdu City")</f>
        <v>Pingdu City</v>
      </c>
      <c r="G1500" s="1">
        <v>3.70283E11</v>
      </c>
    </row>
    <row r="1501">
      <c r="A1501" s="1" t="s">
        <v>1342</v>
      </c>
      <c r="B1501" s="1" t="str">
        <f>IFERROR(__xludf.DUMMYFUNCTION("GOOGLETRANSLATE(A1427, ""zh-CN"", ""en"")"),"Hebei Province")</f>
        <v>Hebei Province</v>
      </c>
      <c r="C1501" s="1" t="s">
        <v>1344</v>
      </c>
      <c r="D1501" s="1" t="str">
        <f>IFERROR(__xludf.DUMMYFUNCTION("GOOGLETRANSLATE(C1501, ""zh-CN"", ""en"")"),"Qingdao")</f>
        <v>Qingdao</v>
      </c>
      <c r="E1501" s="1" t="s">
        <v>1382</v>
      </c>
      <c r="F1501" s="1" t="str">
        <f>IFERROR(__xludf.DUMMYFUNCTION("GOOGLETRANSLATE(E1501, ""zh-CN"", ""en"")"),"Laixi City")</f>
        <v>Laixi City</v>
      </c>
      <c r="G1501" s="1">
        <v>3.70285E11</v>
      </c>
    </row>
    <row r="1502">
      <c r="A1502" s="1" t="s">
        <v>1342</v>
      </c>
      <c r="B1502" s="1" t="str">
        <f>IFERROR(__xludf.DUMMYFUNCTION("GOOGLETRANSLATE(A1428, ""zh-CN"", ""en"")"),"Hebei Province")</f>
        <v>Hebei Province</v>
      </c>
      <c r="C1502" s="1" t="s">
        <v>1345</v>
      </c>
      <c r="D1502" s="1" t="str">
        <f>IFERROR(__xludf.DUMMYFUNCTION("GOOGLETRANSLATE(C1502, ""zh-CN"", ""en"")"),"Zibo")</f>
        <v>Zibo</v>
      </c>
      <c r="E1502" s="1" t="s">
        <v>24</v>
      </c>
      <c r="F1502" s="1" t="str">
        <f>IFERROR(__xludf.DUMMYFUNCTION("GOOGLETRANSLATE(E1502, ""zh-CN"", ""en"")"),"City area")</f>
        <v>City area</v>
      </c>
      <c r="G1502" s="1">
        <v>3.70301E11</v>
      </c>
    </row>
    <row r="1503">
      <c r="A1503" s="1" t="s">
        <v>1342</v>
      </c>
      <c r="B1503" s="1" t="str">
        <f>IFERROR(__xludf.DUMMYFUNCTION("GOOGLETRANSLATE(A1429, ""zh-CN"", ""en"")"),"Hebei Province")</f>
        <v>Hebei Province</v>
      </c>
      <c r="C1503" s="1" t="s">
        <v>1345</v>
      </c>
      <c r="D1503" s="1" t="str">
        <f>IFERROR(__xludf.DUMMYFUNCTION("GOOGLETRANSLATE(C1503, ""zh-CN"", ""en"")"),"Zibo")</f>
        <v>Zibo</v>
      </c>
      <c r="E1503" s="1" t="s">
        <v>1383</v>
      </c>
      <c r="F1503" s="1" t="str">
        <f>IFERROR(__xludf.DUMMYFUNCTION("GOOGLETRANSLATE(E1503, ""zh-CN"", ""en"")"),"Zichuan District")</f>
        <v>Zichuan District</v>
      </c>
      <c r="G1503" s="1">
        <v>3.70302E11</v>
      </c>
    </row>
    <row r="1504">
      <c r="A1504" s="1" t="s">
        <v>1342</v>
      </c>
      <c r="B1504" s="1" t="str">
        <f>IFERROR(__xludf.DUMMYFUNCTION("GOOGLETRANSLATE(A1430, ""zh-CN"", ""en"")"),"Hebei Province")</f>
        <v>Hebei Province</v>
      </c>
      <c r="C1504" s="1" t="s">
        <v>1345</v>
      </c>
      <c r="D1504" s="1" t="str">
        <f>IFERROR(__xludf.DUMMYFUNCTION("GOOGLETRANSLATE(C1504, ""zh-CN"", ""en"")"),"Zibo")</f>
        <v>Zibo</v>
      </c>
      <c r="E1504" s="1" t="s">
        <v>1384</v>
      </c>
      <c r="F1504" s="1" t="str">
        <f>IFERROR(__xludf.DUMMYFUNCTION("GOOGLETRANSLATE(E1504, ""zh-CN"", ""en"")"),"Zhangdian District")</f>
        <v>Zhangdian District</v>
      </c>
      <c r="G1504" s="1">
        <v>3.70303E11</v>
      </c>
    </row>
    <row r="1505">
      <c r="A1505" s="1" t="s">
        <v>1342</v>
      </c>
      <c r="B1505" s="1" t="str">
        <f>IFERROR(__xludf.DUMMYFUNCTION("GOOGLETRANSLATE(A1431, ""zh-CN"", ""en"")"),"Hebei Province")</f>
        <v>Hebei Province</v>
      </c>
      <c r="C1505" s="1" t="s">
        <v>1345</v>
      </c>
      <c r="D1505" s="1" t="str">
        <f>IFERROR(__xludf.DUMMYFUNCTION("GOOGLETRANSLATE(C1505, ""zh-CN"", ""en"")"),"Zibo")</f>
        <v>Zibo</v>
      </c>
      <c r="E1505" s="1" t="s">
        <v>1385</v>
      </c>
      <c r="F1505" s="1" t="str">
        <f>IFERROR(__xludf.DUMMYFUNCTION("GOOGLETRANSLATE(E1505, ""zh-CN"", ""en"")"),"Boshan District")</f>
        <v>Boshan District</v>
      </c>
      <c r="G1505" s="1">
        <v>3.70304E11</v>
      </c>
    </row>
    <row r="1506">
      <c r="A1506" s="1" t="s">
        <v>1342</v>
      </c>
      <c r="B1506" s="1" t="str">
        <f>IFERROR(__xludf.DUMMYFUNCTION("GOOGLETRANSLATE(A1432, ""zh-CN"", ""en"")"),"Hebei Province")</f>
        <v>Hebei Province</v>
      </c>
      <c r="C1506" s="1" t="s">
        <v>1345</v>
      </c>
      <c r="D1506" s="1" t="str">
        <f>IFERROR(__xludf.DUMMYFUNCTION("GOOGLETRANSLATE(C1506, ""zh-CN"", ""en"")"),"Zibo")</f>
        <v>Zibo</v>
      </c>
      <c r="E1506" s="1" t="s">
        <v>1386</v>
      </c>
      <c r="F1506" s="1" t="str">
        <f>IFERROR(__xludf.DUMMYFUNCTION("GOOGLETRANSLATE(E1506, ""zh-CN"", ""en"")"),"Linzi District")</f>
        <v>Linzi District</v>
      </c>
      <c r="G1506" s="1">
        <v>3.70305E11</v>
      </c>
    </row>
    <row r="1507">
      <c r="A1507" s="1" t="s">
        <v>1342</v>
      </c>
      <c r="B1507" s="1" t="str">
        <f>IFERROR(__xludf.DUMMYFUNCTION("GOOGLETRANSLATE(A1433, ""zh-CN"", ""en"")"),"Hebei Province")</f>
        <v>Hebei Province</v>
      </c>
      <c r="C1507" s="1" t="s">
        <v>1345</v>
      </c>
      <c r="D1507" s="1" t="str">
        <f>IFERROR(__xludf.DUMMYFUNCTION("GOOGLETRANSLATE(C1507, ""zh-CN"", ""en"")"),"Zibo")</f>
        <v>Zibo</v>
      </c>
      <c r="E1507" s="1" t="s">
        <v>1387</v>
      </c>
      <c r="F1507" s="1" t="str">
        <f>IFERROR(__xludf.DUMMYFUNCTION("GOOGLETRANSLATE(E1507, ""zh-CN"", ""en"")"),"Zhoucun District")</f>
        <v>Zhoucun District</v>
      </c>
      <c r="G1507" s="1">
        <v>3.70306E11</v>
      </c>
    </row>
    <row r="1508">
      <c r="A1508" s="1" t="s">
        <v>1342</v>
      </c>
      <c r="B1508" s="1" t="str">
        <f>IFERROR(__xludf.DUMMYFUNCTION("GOOGLETRANSLATE(A1434, ""zh-CN"", ""en"")"),"Hebei Province")</f>
        <v>Hebei Province</v>
      </c>
      <c r="C1508" s="1" t="s">
        <v>1345</v>
      </c>
      <c r="D1508" s="1" t="str">
        <f>IFERROR(__xludf.DUMMYFUNCTION("GOOGLETRANSLATE(C1508, ""zh-CN"", ""en"")"),"Zibo")</f>
        <v>Zibo</v>
      </c>
      <c r="E1508" s="1" t="s">
        <v>1388</v>
      </c>
      <c r="F1508" s="1" t="str">
        <f>IFERROR(__xludf.DUMMYFUNCTION("GOOGLETRANSLATE(E1508, ""zh-CN"", ""en"")"),"Huantai County")</f>
        <v>Huantai County</v>
      </c>
      <c r="G1508" s="1">
        <v>3.70321E11</v>
      </c>
    </row>
    <row r="1509">
      <c r="A1509" s="1" t="s">
        <v>1342</v>
      </c>
      <c r="B1509" s="1" t="str">
        <f>IFERROR(__xludf.DUMMYFUNCTION("GOOGLETRANSLATE(A1435, ""zh-CN"", ""en"")"),"Hebei Province")</f>
        <v>Hebei Province</v>
      </c>
      <c r="C1509" s="1" t="s">
        <v>1345</v>
      </c>
      <c r="D1509" s="1" t="str">
        <f>IFERROR(__xludf.DUMMYFUNCTION("GOOGLETRANSLATE(C1509, ""zh-CN"", ""en"")"),"Zibo")</f>
        <v>Zibo</v>
      </c>
      <c r="E1509" s="1" t="s">
        <v>1389</v>
      </c>
      <c r="F1509" s="1" t="str">
        <f>IFERROR(__xludf.DUMMYFUNCTION("GOOGLETRANSLATE(E1509, ""zh-CN"", ""en"")"),"Gaoqing County")</f>
        <v>Gaoqing County</v>
      </c>
      <c r="G1509" s="1">
        <v>3.70322E11</v>
      </c>
    </row>
    <row r="1510">
      <c r="A1510" s="1" t="s">
        <v>1342</v>
      </c>
      <c r="B1510" s="1" t="str">
        <f>IFERROR(__xludf.DUMMYFUNCTION("GOOGLETRANSLATE(A1436, ""zh-CN"", ""en"")"),"Hebei Province")</f>
        <v>Hebei Province</v>
      </c>
      <c r="C1510" s="1" t="s">
        <v>1345</v>
      </c>
      <c r="D1510" s="1" t="str">
        <f>IFERROR(__xludf.DUMMYFUNCTION("GOOGLETRANSLATE(C1510, ""zh-CN"", ""en"")"),"Zibo")</f>
        <v>Zibo</v>
      </c>
      <c r="E1510" s="1" t="s">
        <v>1390</v>
      </c>
      <c r="F1510" s="1" t="str">
        <f>IFERROR(__xludf.DUMMYFUNCTION("GOOGLETRANSLATE(E1510, ""zh-CN"", ""en"")"),"Yiyuan County")</f>
        <v>Yiyuan County</v>
      </c>
      <c r="G1510" s="1">
        <v>3.70323E11</v>
      </c>
    </row>
    <row r="1511">
      <c r="A1511" s="1" t="s">
        <v>1342</v>
      </c>
      <c r="B1511" s="1" t="str">
        <f>IFERROR(__xludf.DUMMYFUNCTION("GOOGLETRANSLATE(A1437, ""zh-CN"", ""en"")"),"Hebei Province")</f>
        <v>Hebei Province</v>
      </c>
      <c r="C1511" s="1" t="s">
        <v>1346</v>
      </c>
      <c r="D1511" s="1" t="str">
        <f>IFERROR(__xludf.DUMMYFUNCTION("GOOGLETRANSLATE(C1511, ""zh-CN"", ""en"")"),"Zaozhuang City")</f>
        <v>Zaozhuang City</v>
      </c>
      <c r="E1511" s="1" t="s">
        <v>24</v>
      </c>
      <c r="F1511" s="1" t="str">
        <f>IFERROR(__xludf.DUMMYFUNCTION("GOOGLETRANSLATE(E1511, ""zh-CN"", ""en"")"),"City area")</f>
        <v>City area</v>
      </c>
      <c r="G1511" s="1">
        <v>3.70401E11</v>
      </c>
    </row>
    <row r="1512">
      <c r="A1512" s="1" t="s">
        <v>1342</v>
      </c>
      <c r="B1512" s="1" t="str">
        <f>IFERROR(__xludf.DUMMYFUNCTION("GOOGLETRANSLATE(A1438, ""zh-CN"", ""en"")"),"Hebei Province")</f>
        <v>Hebei Province</v>
      </c>
      <c r="C1512" s="1" t="s">
        <v>1346</v>
      </c>
      <c r="D1512" s="1" t="str">
        <f>IFERROR(__xludf.DUMMYFUNCTION("GOOGLETRANSLATE(C1512, ""zh-CN"", ""en"")"),"Zaozhuang City")</f>
        <v>Zaozhuang City</v>
      </c>
      <c r="E1512" s="1" t="s">
        <v>1360</v>
      </c>
      <c r="F1512" s="1" t="str">
        <f>IFERROR(__xludf.DUMMYFUNCTION("GOOGLETRANSLATE(E1512, ""zh-CN"", ""en"")"),"Central area")</f>
        <v>Central area</v>
      </c>
      <c r="G1512" s="1">
        <v>3.70402E11</v>
      </c>
    </row>
    <row r="1513">
      <c r="A1513" s="1" t="s">
        <v>1342</v>
      </c>
      <c r="B1513" s="1" t="str">
        <f>IFERROR(__xludf.DUMMYFUNCTION("GOOGLETRANSLATE(A1439, ""zh-CN"", ""en"")"),"Hebei Province")</f>
        <v>Hebei Province</v>
      </c>
      <c r="C1513" s="1" t="s">
        <v>1346</v>
      </c>
      <c r="D1513" s="1" t="str">
        <f>IFERROR(__xludf.DUMMYFUNCTION("GOOGLETRANSLATE(C1513, ""zh-CN"", ""en"")"),"Zaozhuang City")</f>
        <v>Zaozhuang City</v>
      </c>
      <c r="E1513" s="1" t="s">
        <v>1391</v>
      </c>
      <c r="F1513" s="1" t="str">
        <f>IFERROR(__xludf.DUMMYFUNCTION("GOOGLETRANSLATE(E1513, ""zh-CN"", ""en"")"),"Xuecheng District")</f>
        <v>Xuecheng District</v>
      </c>
      <c r="G1513" s="1">
        <v>3.70403E11</v>
      </c>
    </row>
    <row r="1514">
      <c r="A1514" s="1" t="s">
        <v>1342</v>
      </c>
      <c r="B1514" s="1" t="str">
        <f>IFERROR(__xludf.DUMMYFUNCTION("GOOGLETRANSLATE(A1440, ""zh-CN"", ""en"")"),"Hebei Province")</f>
        <v>Hebei Province</v>
      </c>
      <c r="C1514" s="1" t="s">
        <v>1346</v>
      </c>
      <c r="D1514" s="1" t="str">
        <f>IFERROR(__xludf.DUMMYFUNCTION("GOOGLETRANSLATE(C1514, ""zh-CN"", ""en"")"),"Zaozhuang City")</f>
        <v>Zaozhuang City</v>
      </c>
      <c r="E1514" s="1" t="s">
        <v>1392</v>
      </c>
      <c r="F1514" s="1" t="str">
        <f>IFERROR(__xludf.DUMMYFUNCTION("GOOGLETRANSLATE(E1514, ""zh-CN"", ""en"")"),"Laocheng District")</f>
        <v>Laocheng District</v>
      </c>
      <c r="G1514" s="1">
        <v>3.70404E11</v>
      </c>
    </row>
    <row r="1515">
      <c r="A1515" s="1" t="s">
        <v>1342</v>
      </c>
      <c r="B1515" s="1" t="str">
        <f>IFERROR(__xludf.DUMMYFUNCTION("GOOGLETRANSLATE(A1441, ""zh-CN"", ""en"")"),"Hebei Province")</f>
        <v>Hebei Province</v>
      </c>
      <c r="C1515" s="1" t="s">
        <v>1346</v>
      </c>
      <c r="D1515" s="1" t="str">
        <f>IFERROR(__xludf.DUMMYFUNCTION("GOOGLETRANSLATE(C1515, ""zh-CN"", ""en"")"),"Zaozhuang City")</f>
        <v>Zaozhuang City</v>
      </c>
      <c r="E1515" s="1" t="s">
        <v>1393</v>
      </c>
      <c r="F1515" s="1" t="str">
        <f>IFERROR(__xludf.DUMMYFUNCTION("GOOGLETRANSLATE(E1515, ""zh-CN"", ""en"")"),"Taierzhuang District")</f>
        <v>Taierzhuang District</v>
      </c>
      <c r="G1515" s="1">
        <v>3.70405E11</v>
      </c>
    </row>
    <row r="1516">
      <c r="A1516" s="1" t="s">
        <v>1342</v>
      </c>
      <c r="B1516" s="1" t="str">
        <f>IFERROR(__xludf.DUMMYFUNCTION("GOOGLETRANSLATE(A1442, ""zh-CN"", ""en"")"),"Hebei Province")</f>
        <v>Hebei Province</v>
      </c>
      <c r="C1516" s="1" t="s">
        <v>1346</v>
      </c>
      <c r="D1516" s="1" t="str">
        <f>IFERROR(__xludf.DUMMYFUNCTION("GOOGLETRANSLATE(C1516, ""zh-CN"", ""en"")"),"Zaozhuang City")</f>
        <v>Zaozhuang City</v>
      </c>
      <c r="E1516" s="1" t="s">
        <v>1394</v>
      </c>
      <c r="F1516" s="1" t="str">
        <f>IFERROR(__xludf.DUMMYFUNCTION("GOOGLETRANSLATE(E1516, ""zh-CN"", ""en"")"),"Mountain pavilion")</f>
        <v>Mountain pavilion</v>
      </c>
      <c r="G1516" s="1">
        <v>3.70406E11</v>
      </c>
    </row>
    <row r="1517">
      <c r="A1517" s="1" t="s">
        <v>1342</v>
      </c>
      <c r="B1517" s="1" t="str">
        <f>IFERROR(__xludf.DUMMYFUNCTION("GOOGLETRANSLATE(A1443, ""zh-CN"", ""en"")"),"Hebei Province")</f>
        <v>Hebei Province</v>
      </c>
      <c r="C1517" s="1" t="s">
        <v>1346</v>
      </c>
      <c r="D1517" s="1" t="str">
        <f>IFERROR(__xludf.DUMMYFUNCTION("GOOGLETRANSLATE(C1517, ""zh-CN"", ""en"")"),"Zaozhuang City")</f>
        <v>Zaozhuang City</v>
      </c>
      <c r="E1517" s="1" t="s">
        <v>1395</v>
      </c>
      <c r="F1517" s="1" t="str">
        <f>IFERROR(__xludf.DUMMYFUNCTION("GOOGLETRANSLATE(E1517, ""zh-CN"", ""en"")"),"Tengzhou")</f>
        <v>Tengzhou</v>
      </c>
      <c r="G1517" s="1">
        <v>3.70481E11</v>
      </c>
    </row>
    <row r="1518">
      <c r="A1518" s="1" t="s">
        <v>1342</v>
      </c>
      <c r="B1518" s="1" t="str">
        <f>IFERROR(__xludf.DUMMYFUNCTION("GOOGLETRANSLATE(A1444, ""zh-CN"", ""en"")"),"Hebei Province")</f>
        <v>Hebei Province</v>
      </c>
      <c r="C1518" s="1" t="s">
        <v>1347</v>
      </c>
      <c r="D1518" s="1" t="str">
        <f>IFERROR(__xludf.DUMMYFUNCTION("GOOGLETRANSLATE(C1518, ""zh-CN"", ""en"")"),"Dongying City")</f>
        <v>Dongying City</v>
      </c>
      <c r="E1518" s="1" t="s">
        <v>24</v>
      </c>
      <c r="F1518" s="1" t="str">
        <f>IFERROR(__xludf.DUMMYFUNCTION("GOOGLETRANSLATE(E1518, ""zh-CN"", ""en"")"),"City area")</f>
        <v>City area</v>
      </c>
      <c r="G1518" s="1">
        <v>3.70501E11</v>
      </c>
    </row>
    <row r="1519">
      <c r="A1519" s="1" t="s">
        <v>1342</v>
      </c>
      <c r="B1519" s="1" t="str">
        <f>IFERROR(__xludf.DUMMYFUNCTION("GOOGLETRANSLATE(A1445, ""zh-CN"", ""en"")"),"Hebei Province")</f>
        <v>Hebei Province</v>
      </c>
      <c r="C1519" s="1" t="s">
        <v>1347</v>
      </c>
      <c r="D1519" s="1" t="str">
        <f>IFERROR(__xludf.DUMMYFUNCTION("GOOGLETRANSLATE(C1519, ""zh-CN"", ""en"")"),"Dongying City")</f>
        <v>Dongying City</v>
      </c>
      <c r="E1519" s="1" t="s">
        <v>1396</v>
      </c>
      <c r="F1519" s="1" t="str">
        <f>IFERROR(__xludf.DUMMYFUNCTION("GOOGLETRANSLATE(E1519, ""zh-CN"", ""en"")"),"Dongying District")</f>
        <v>Dongying District</v>
      </c>
      <c r="G1519" s="1">
        <v>3.70502E11</v>
      </c>
    </row>
    <row r="1520">
      <c r="A1520" s="1" t="s">
        <v>1342</v>
      </c>
      <c r="B1520" s="1" t="str">
        <f>IFERROR(__xludf.DUMMYFUNCTION("GOOGLETRANSLATE(A1446, ""zh-CN"", ""en"")"),"Hebei Province")</f>
        <v>Hebei Province</v>
      </c>
      <c r="C1520" s="1" t="s">
        <v>1347</v>
      </c>
      <c r="D1520" s="1" t="str">
        <f>IFERROR(__xludf.DUMMYFUNCTION("GOOGLETRANSLATE(C1520, ""zh-CN"", ""en"")"),"Dongying City")</f>
        <v>Dongying City</v>
      </c>
      <c r="E1520" s="1" t="s">
        <v>1397</v>
      </c>
      <c r="F1520" s="1" t="str">
        <f>IFERROR(__xludf.DUMMYFUNCTION("GOOGLETRANSLATE(E1520, ""zh-CN"", ""en"")"),"Estuary")</f>
        <v>Estuary</v>
      </c>
      <c r="G1520" s="1">
        <v>3.70503E11</v>
      </c>
    </row>
    <row r="1521">
      <c r="A1521" s="1" t="s">
        <v>1342</v>
      </c>
      <c r="B1521" s="1" t="str">
        <f>IFERROR(__xludf.DUMMYFUNCTION("GOOGLETRANSLATE(A1447, ""zh-CN"", ""en"")"),"Hebei Province")</f>
        <v>Hebei Province</v>
      </c>
      <c r="C1521" s="1" t="s">
        <v>1347</v>
      </c>
      <c r="D1521" s="1" t="str">
        <f>IFERROR(__xludf.DUMMYFUNCTION("GOOGLETRANSLATE(C1521, ""zh-CN"", ""en"")"),"Dongying City")</f>
        <v>Dongying City</v>
      </c>
      <c r="E1521" s="1" t="s">
        <v>1398</v>
      </c>
      <c r="F1521" s="1" t="str">
        <f>IFERROR(__xludf.DUMMYFUNCTION("GOOGLETRANSLATE(E1521, ""zh-CN"", ""en"")"),"Kenli District")</f>
        <v>Kenli District</v>
      </c>
      <c r="G1521" s="1">
        <v>3.70505E11</v>
      </c>
    </row>
    <row r="1522">
      <c r="A1522" s="1" t="s">
        <v>1342</v>
      </c>
      <c r="B1522" s="1" t="str">
        <f>IFERROR(__xludf.DUMMYFUNCTION("GOOGLETRANSLATE(A1448, ""zh-CN"", ""en"")"),"Hebei Province")</f>
        <v>Hebei Province</v>
      </c>
      <c r="C1522" s="1" t="s">
        <v>1347</v>
      </c>
      <c r="D1522" s="1" t="str">
        <f>IFERROR(__xludf.DUMMYFUNCTION("GOOGLETRANSLATE(C1522, ""zh-CN"", ""en"")"),"Dongying City")</f>
        <v>Dongying City</v>
      </c>
      <c r="E1522" s="1" t="s">
        <v>1399</v>
      </c>
      <c r="F1522" s="1" t="str">
        <f>IFERROR(__xludf.DUMMYFUNCTION("GOOGLETRANSLATE(E1522, ""zh-CN"", ""en"")"),"Lijin County")</f>
        <v>Lijin County</v>
      </c>
      <c r="G1522" s="1">
        <v>3.70522E11</v>
      </c>
    </row>
    <row r="1523">
      <c r="A1523" s="1" t="s">
        <v>1342</v>
      </c>
      <c r="B1523" s="1" t="str">
        <f>IFERROR(__xludf.DUMMYFUNCTION("GOOGLETRANSLATE(A1449, ""zh-CN"", ""en"")"),"Hebei Province")</f>
        <v>Hebei Province</v>
      </c>
      <c r="C1523" s="1" t="s">
        <v>1347</v>
      </c>
      <c r="D1523" s="1" t="str">
        <f>IFERROR(__xludf.DUMMYFUNCTION("GOOGLETRANSLATE(C1523, ""zh-CN"", ""en"")"),"Dongying City")</f>
        <v>Dongying City</v>
      </c>
      <c r="E1523" s="1" t="s">
        <v>1400</v>
      </c>
      <c r="F1523" s="1" t="str">
        <f>IFERROR(__xludf.DUMMYFUNCTION("GOOGLETRANSLATE(E1523, ""zh-CN"", ""en"")"),"Guangrao County")</f>
        <v>Guangrao County</v>
      </c>
      <c r="G1523" s="1">
        <v>3.70523E11</v>
      </c>
    </row>
    <row r="1524">
      <c r="A1524" s="1" t="s">
        <v>1342</v>
      </c>
      <c r="B1524" s="1" t="str">
        <f>IFERROR(__xludf.DUMMYFUNCTION("GOOGLETRANSLATE(A1450, ""zh-CN"", ""en"")"),"Hebei Province")</f>
        <v>Hebei Province</v>
      </c>
      <c r="C1524" s="1" t="s">
        <v>1347</v>
      </c>
      <c r="D1524" s="1" t="str">
        <f>IFERROR(__xludf.DUMMYFUNCTION("GOOGLETRANSLATE(C1524, ""zh-CN"", ""en"")"),"Dongying City")</f>
        <v>Dongying City</v>
      </c>
      <c r="E1524" s="1" t="s">
        <v>1401</v>
      </c>
      <c r="F1524" s="1" t="str">
        <f>IFERROR(__xludf.DUMMYFUNCTION("GOOGLETRANSLATE(E1524, ""zh-CN"", ""en"")"),"Dongying Economic and Technological Development Zone")</f>
        <v>Dongying Economic and Technological Development Zone</v>
      </c>
      <c r="G1524" s="1">
        <v>3.70571E11</v>
      </c>
    </row>
    <row r="1525">
      <c r="A1525" s="1" t="s">
        <v>1342</v>
      </c>
      <c r="B1525" s="1" t="str">
        <f>IFERROR(__xludf.DUMMYFUNCTION("GOOGLETRANSLATE(A1451, ""zh-CN"", ""en"")"),"Hebei Province")</f>
        <v>Hebei Province</v>
      </c>
      <c r="C1525" s="1" t="s">
        <v>1347</v>
      </c>
      <c r="D1525" s="1" t="str">
        <f>IFERROR(__xludf.DUMMYFUNCTION("GOOGLETRANSLATE(C1525, ""zh-CN"", ""en"")"),"Dongying City")</f>
        <v>Dongying City</v>
      </c>
      <c r="E1525" s="1" t="s">
        <v>1402</v>
      </c>
      <c r="F1525" s="1" t="str">
        <f>IFERROR(__xludf.DUMMYFUNCTION("GOOGLETRANSLATE(E1525, ""zh-CN"", ""en"")"),"Dongyinggang Economic Development Zone")</f>
        <v>Dongyinggang Economic Development Zone</v>
      </c>
      <c r="G1525" s="1">
        <v>3.70572E11</v>
      </c>
    </row>
    <row r="1526">
      <c r="A1526" s="1" t="s">
        <v>1342</v>
      </c>
      <c r="B1526" s="1" t="str">
        <f>IFERROR(__xludf.DUMMYFUNCTION("GOOGLETRANSLATE(A1452, ""zh-CN"", ""en"")"),"Hebei Province")</f>
        <v>Hebei Province</v>
      </c>
      <c r="C1526" s="1" t="s">
        <v>1348</v>
      </c>
      <c r="D1526" s="1" t="str">
        <f>IFERROR(__xludf.DUMMYFUNCTION("GOOGLETRANSLATE(C1526, ""zh-CN"", ""en"")"),"City of Yantai")</f>
        <v>City of Yantai</v>
      </c>
      <c r="E1526" s="1" t="s">
        <v>24</v>
      </c>
      <c r="F1526" s="1" t="str">
        <f>IFERROR(__xludf.DUMMYFUNCTION("GOOGLETRANSLATE(E1526, ""zh-CN"", ""en"")"),"City area")</f>
        <v>City area</v>
      </c>
      <c r="G1526" s="1">
        <v>3.70601E11</v>
      </c>
    </row>
    <row r="1527">
      <c r="A1527" s="1" t="s">
        <v>1342</v>
      </c>
      <c r="B1527" s="1" t="str">
        <f>IFERROR(__xludf.DUMMYFUNCTION("GOOGLETRANSLATE(A1453, ""zh-CN"", ""en"")"),"Hebei Province")</f>
        <v>Hebei Province</v>
      </c>
      <c r="C1527" s="1" t="s">
        <v>1348</v>
      </c>
      <c r="D1527" s="1" t="str">
        <f>IFERROR(__xludf.DUMMYFUNCTION("GOOGLETRANSLATE(C1527, ""zh-CN"", ""en"")"),"City of Yantai")</f>
        <v>City of Yantai</v>
      </c>
      <c r="E1527" s="1" t="s">
        <v>1403</v>
      </c>
      <c r="F1527" s="1" t="str">
        <f>IFERROR(__xludf.DUMMYFUNCTION("GOOGLETRANSLATE(E1527, ""zh-CN"", ""en"")"),"Zhizhen District")</f>
        <v>Zhizhen District</v>
      </c>
      <c r="G1527" s="1">
        <v>3.70602E11</v>
      </c>
    </row>
    <row r="1528">
      <c r="A1528" s="1" t="s">
        <v>1342</v>
      </c>
      <c r="B1528" s="1" t="str">
        <f>IFERROR(__xludf.DUMMYFUNCTION("GOOGLETRANSLATE(A1454, ""zh-CN"", ""en"")"),"Hebei Province")</f>
        <v>Hebei Province</v>
      </c>
      <c r="C1528" s="1" t="s">
        <v>1348</v>
      </c>
      <c r="D1528" s="1" t="str">
        <f>IFERROR(__xludf.DUMMYFUNCTION("GOOGLETRANSLATE(C1528, ""zh-CN"", ""en"")"),"City of Yantai")</f>
        <v>City of Yantai</v>
      </c>
      <c r="E1528" s="1" t="s">
        <v>1404</v>
      </c>
      <c r="F1528" s="1" t="str">
        <f>IFERROR(__xludf.DUMMYFUNCTION("GOOGLETRANSLATE(E1528, ""zh-CN"", ""en"")"),"Fushan District")</f>
        <v>Fushan District</v>
      </c>
      <c r="G1528" s="1">
        <v>3.70611E11</v>
      </c>
    </row>
    <row r="1529">
      <c r="A1529" s="1" t="s">
        <v>1342</v>
      </c>
      <c r="B1529" s="1" t="str">
        <f>IFERROR(__xludf.DUMMYFUNCTION("GOOGLETRANSLATE(A1455, ""zh-CN"", ""en"")"),"Hebei Province")</f>
        <v>Hebei Province</v>
      </c>
      <c r="C1529" s="1" t="s">
        <v>1348</v>
      </c>
      <c r="D1529" s="1" t="str">
        <f>IFERROR(__xludf.DUMMYFUNCTION("GOOGLETRANSLATE(C1529, ""zh-CN"", ""en"")"),"City of Yantai")</f>
        <v>City of Yantai</v>
      </c>
      <c r="E1529" s="1" t="s">
        <v>1405</v>
      </c>
      <c r="F1529" s="1" t="str">
        <f>IFERROR(__xludf.DUMMYFUNCTION("GOOGLETRANSLATE(E1529, ""zh-CN"", ""en"")"),"Mouping District")</f>
        <v>Mouping District</v>
      </c>
      <c r="G1529" s="1">
        <v>3.70612E11</v>
      </c>
    </row>
    <row r="1530">
      <c r="A1530" s="1" t="s">
        <v>1342</v>
      </c>
      <c r="B1530" s="1" t="str">
        <f>IFERROR(__xludf.DUMMYFUNCTION("GOOGLETRANSLATE(A1456, ""zh-CN"", ""en"")"),"Hebei Province")</f>
        <v>Hebei Province</v>
      </c>
      <c r="C1530" s="1" t="s">
        <v>1348</v>
      </c>
      <c r="D1530" s="1" t="str">
        <f>IFERROR(__xludf.DUMMYFUNCTION("GOOGLETRANSLATE(C1530, ""zh-CN"", ""en"")"),"City of Yantai")</f>
        <v>City of Yantai</v>
      </c>
      <c r="E1530" s="1" t="s">
        <v>1406</v>
      </c>
      <c r="F1530" s="1" t="str">
        <f>IFERROR(__xludf.DUMMYFUNCTION("GOOGLETRANSLATE(E1530, ""zh-CN"", ""en"")"),"Laishan District")</f>
        <v>Laishan District</v>
      </c>
      <c r="G1530" s="1">
        <v>3.70613E11</v>
      </c>
    </row>
    <row r="1531">
      <c r="A1531" s="1" t="s">
        <v>1342</v>
      </c>
      <c r="B1531" s="1" t="str">
        <f>IFERROR(__xludf.DUMMYFUNCTION("GOOGLETRANSLATE(A1457, ""zh-CN"", ""en"")"),"Hebei Province")</f>
        <v>Hebei Province</v>
      </c>
      <c r="C1531" s="1" t="s">
        <v>1348</v>
      </c>
      <c r="D1531" s="1" t="str">
        <f>IFERROR(__xludf.DUMMYFUNCTION("GOOGLETRANSLATE(C1531, ""zh-CN"", ""en"")"),"City of Yantai")</f>
        <v>City of Yantai</v>
      </c>
      <c r="E1531" s="1" t="s">
        <v>1407</v>
      </c>
      <c r="F1531" s="1" t="str">
        <f>IFERROR(__xludf.DUMMYFUNCTION("GOOGLETRANSLATE(E1531, ""zh-CN"", ""en"")"),"Penglai District")</f>
        <v>Penglai District</v>
      </c>
      <c r="G1531" s="1">
        <v>3.70614E11</v>
      </c>
    </row>
    <row r="1532">
      <c r="A1532" s="1" t="s">
        <v>1342</v>
      </c>
      <c r="B1532" s="1" t="str">
        <f>IFERROR(__xludf.DUMMYFUNCTION("GOOGLETRANSLATE(A1458, ""zh-CN"", ""en"")"),"Hebei Province")</f>
        <v>Hebei Province</v>
      </c>
      <c r="C1532" s="1" t="s">
        <v>1348</v>
      </c>
      <c r="D1532" s="1" t="str">
        <f>IFERROR(__xludf.DUMMYFUNCTION("GOOGLETRANSLATE(C1532, ""zh-CN"", ""en"")"),"City of Yantai")</f>
        <v>City of Yantai</v>
      </c>
      <c r="E1532" s="1" t="s">
        <v>1408</v>
      </c>
      <c r="F1532" s="1" t="str">
        <f>IFERROR(__xludf.DUMMYFUNCTION("GOOGLETRANSLATE(E1532, ""zh-CN"", ""en"")"),"Yantai High -tech Industrial Development Zone")</f>
        <v>Yantai High -tech Industrial Development Zone</v>
      </c>
      <c r="G1532" s="1">
        <v>3.70671E11</v>
      </c>
    </row>
    <row r="1533">
      <c r="A1533" s="1" t="s">
        <v>1342</v>
      </c>
      <c r="B1533" s="1" t="str">
        <f>IFERROR(__xludf.DUMMYFUNCTION("GOOGLETRANSLATE(A1459, ""zh-CN"", ""en"")"),"Shandong Province")</f>
        <v>Shandong Province</v>
      </c>
      <c r="C1533" s="1" t="s">
        <v>1348</v>
      </c>
      <c r="D1533" s="1" t="str">
        <f>IFERROR(__xludf.DUMMYFUNCTION("GOOGLETRANSLATE(C1533, ""zh-CN"", ""en"")"),"City of Yantai")</f>
        <v>City of Yantai</v>
      </c>
      <c r="E1533" s="1" t="s">
        <v>1409</v>
      </c>
      <c r="F1533" s="1" t="str">
        <f>IFERROR(__xludf.DUMMYFUNCTION("GOOGLETRANSLATE(E1533, ""zh-CN"", ""en"")"),"Yantai Economic and Technological Development Zone")</f>
        <v>Yantai Economic and Technological Development Zone</v>
      </c>
      <c r="G1533" s="1">
        <v>3.70672E11</v>
      </c>
    </row>
    <row r="1534">
      <c r="A1534" s="1" t="s">
        <v>1342</v>
      </c>
      <c r="B1534" s="1" t="str">
        <f>IFERROR(__xludf.DUMMYFUNCTION("GOOGLETRANSLATE(A1460, ""zh-CN"", ""en"")"),"Shandong Province")</f>
        <v>Shandong Province</v>
      </c>
      <c r="C1534" s="1" t="s">
        <v>1348</v>
      </c>
      <c r="D1534" s="1" t="str">
        <f>IFERROR(__xludf.DUMMYFUNCTION("GOOGLETRANSLATE(C1534, ""zh-CN"", ""en"")"),"City of Yantai")</f>
        <v>City of Yantai</v>
      </c>
      <c r="E1534" s="1" t="s">
        <v>1410</v>
      </c>
      <c r="F1534" s="1" t="str">
        <f>IFERROR(__xludf.DUMMYFUNCTION("GOOGLETRANSLATE(E1534, ""zh-CN"", ""en"")"),"Longkou City")</f>
        <v>Longkou City</v>
      </c>
      <c r="G1534" s="1">
        <v>3.70681E11</v>
      </c>
    </row>
    <row r="1535">
      <c r="A1535" s="1" t="s">
        <v>1342</v>
      </c>
      <c r="B1535" s="1" t="str">
        <f>IFERROR(__xludf.DUMMYFUNCTION("GOOGLETRANSLATE(A1461, ""zh-CN"", ""en"")"),"Shandong Province")</f>
        <v>Shandong Province</v>
      </c>
      <c r="C1535" s="1" t="s">
        <v>1348</v>
      </c>
      <c r="D1535" s="1" t="str">
        <f>IFERROR(__xludf.DUMMYFUNCTION("GOOGLETRANSLATE(C1535, ""zh-CN"", ""en"")"),"City of Yantai")</f>
        <v>City of Yantai</v>
      </c>
      <c r="E1535" s="1" t="s">
        <v>1411</v>
      </c>
      <c r="F1535" s="1" t="str">
        <f>IFERROR(__xludf.DUMMYFUNCTION("GOOGLETRANSLATE(E1535, ""zh-CN"", ""en"")"),"Laiyang City")</f>
        <v>Laiyang City</v>
      </c>
      <c r="G1535" s="1">
        <v>3.70682E11</v>
      </c>
    </row>
    <row r="1536">
      <c r="A1536" s="1" t="s">
        <v>1342</v>
      </c>
      <c r="B1536" s="1" t="str">
        <f>IFERROR(__xludf.DUMMYFUNCTION("GOOGLETRANSLATE(A1462, ""zh-CN"", ""en"")"),"Shandong Province")</f>
        <v>Shandong Province</v>
      </c>
      <c r="C1536" s="1" t="s">
        <v>1348</v>
      </c>
      <c r="D1536" s="1" t="str">
        <f>IFERROR(__xludf.DUMMYFUNCTION("GOOGLETRANSLATE(C1536, ""zh-CN"", ""en"")"),"City of Yantai")</f>
        <v>City of Yantai</v>
      </c>
      <c r="E1536" s="1" t="s">
        <v>1412</v>
      </c>
      <c r="F1536" s="1" t="str">
        <f>IFERROR(__xludf.DUMMYFUNCTION("GOOGLETRANSLATE(E1536, ""zh-CN"", ""en"")"),"Laizhou")</f>
        <v>Laizhou</v>
      </c>
      <c r="G1536" s="1">
        <v>3.70683E11</v>
      </c>
    </row>
    <row r="1537">
      <c r="A1537" s="1" t="s">
        <v>1342</v>
      </c>
      <c r="B1537" s="1" t="str">
        <f>IFERROR(__xludf.DUMMYFUNCTION("GOOGLETRANSLATE(A1463, ""zh-CN"", ""en"")"),"Shandong Province")</f>
        <v>Shandong Province</v>
      </c>
      <c r="C1537" s="1" t="s">
        <v>1348</v>
      </c>
      <c r="D1537" s="1" t="str">
        <f>IFERROR(__xludf.DUMMYFUNCTION("GOOGLETRANSLATE(C1537, ""zh-CN"", ""en"")"),"City of Yantai")</f>
        <v>City of Yantai</v>
      </c>
      <c r="E1537" s="1" t="s">
        <v>1413</v>
      </c>
      <c r="F1537" s="1" t="str">
        <f>IFERROR(__xludf.DUMMYFUNCTION("GOOGLETRANSLATE(E1537, ""zh-CN"", ""en"")"),"Zhaoyuan")</f>
        <v>Zhaoyuan</v>
      </c>
      <c r="G1537" s="1">
        <v>3.70685E11</v>
      </c>
    </row>
    <row r="1538">
      <c r="A1538" s="1" t="s">
        <v>1342</v>
      </c>
      <c r="B1538" s="1" t="str">
        <f>IFERROR(__xludf.DUMMYFUNCTION("GOOGLETRANSLATE(A1464, ""zh-CN"", ""en"")"),"Shandong Province")</f>
        <v>Shandong Province</v>
      </c>
      <c r="C1538" s="1" t="s">
        <v>1348</v>
      </c>
      <c r="D1538" s="1" t="str">
        <f>IFERROR(__xludf.DUMMYFUNCTION("GOOGLETRANSLATE(C1538, ""zh-CN"", ""en"")"),"City of Yantai")</f>
        <v>City of Yantai</v>
      </c>
      <c r="E1538" s="1" t="s">
        <v>1414</v>
      </c>
      <c r="F1538" s="1" t="str">
        <f>IFERROR(__xludf.DUMMYFUNCTION("GOOGLETRANSLATE(E1538, ""zh-CN"", ""en"")"),"Qixia City")</f>
        <v>Qixia City</v>
      </c>
      <c r="G1538" s="1">
        <v>3.70686E11</v>
      </c>
    </row>
    <row r="1539">
      <c r="A1539" s="1" t="s">
        <v>1342</v>
      </c>
      <c r="B1539" s="1" t="str">
        <f>IFERROR(__xludf.DUMMYFUNCTION("GOOGLETRANSLATE(A1465, ""zh-CN"", ""en"")"),"Shandong Province")</f>
        <v>Shandong Province</v>
      </c>
      <c r="C1539" s="1" t="s">
        <v>1348</v>
      </c>
      <c r="D1539" s="1" t="str">
        <f>IFERROR(__xludf.DUMMYFUNCTION("GOOGLETRANSLATE(C1539, ""zh-CN"", ""en"")"),"City of Yantai")</f>
        <v>City of Yantai</v>
      </c>
      <c r="E1539" s="1" t="s">
        <v>1415</v>
      </c>
      <c r="F1539" s="1" t="str">
        <f>IFERROR(__xludf.DUMMYFUNCTION("GOOGLETRANSLATE(E1539, ""zh-CN"", ""en"")"),"Haiyang City")</f>
        <v>Haiyang City</v>
      </c>
      <c r="G1539" s="1">
        <v>3.70687E11</v>
      </c>
    </row>
    <row r="1540">
      <c r="A1540" s="1" t="s">
        <v>1342</v>
      </c>
      <c r="B1540" s="1" t="str">
        <f>IFERROR(__xludf.DUMMYFUNCTION("GOOGLETRANSLATE(A1466, ""zh-CN"", ""en"")"),"Shandong Province")</f>
        <v>Shandong Province</v>
      </c>
      <c r="C1540" s="1" t="s">
        <v>1349</v>
      </c>
      <c r="D1540" s="1" t="str">
        <f>IFERROR(__xludf.DUMMYFUNCTION("GOOGLETRANSLATE(C1540, ""zh-CN"", ""en"")"),"Weifang")</f>
        <v>Weifang</v>
      </c>
      <c r="E1540" s="1" t="s">
        <v>24</v>
      </c>
      <c r="F1540" s="1" t="str">
        <f>IFERROR(__xludf.DUMMYFUNCTION("GOOGLETRANSLATE(E1540, ""zh-CN"", ""en"")"),"City area")</f>
        <v>City area</v>
      </c>
      <c r="G1540" s="1">
        <v>3.70701E11</v>
      </c>
    </row>
    <row r="1541">
      <c r="A1541" s="1" t="s">
        <v>1342</v>
      </c>
      <c r="B1541" s="1" t="str">
        <f>IFERROR(__xludf.DUMMYFUNCTION("GOOGLETRANSLATE(A1467, ""zh-CN"", ""en"")"),"Shandong Province")</f>
        <v>Shandong Province</v>
      </c>
      <c r="C1541" s="1" t="s">
        <v>1349</v>
      </c>
      <c r="D1541" s="1" t="str">
        <f>IFERROR(__xludf.DUMMYFUNCTION("GOOGLETRANSLATE(C1541, ""zh-CN"", ""en"")"),"Weifang")</f>
        <v>Weifang</v>
      </c>
      <c r="E1541" s="1" t="s">
        <v>1416</v>
      </c>
      <c r="F1541" s="1" t="str">
        <f>IFERROR(__xludf.DUMMYFUNCTION("GOOGLETRANSLATE(E1541, ""zh-CN"", ""en"")"),"Weicheng District")</f>
        <v>Weicheng District</v>
      </c>
      <c r="G1541" s="1">
        <v>3.70702E11</v>
      </c>
    </row>
    <row r="1542">
      <c r="A1542" s="1" t="s">
        <v>1342</v>
      </c>
      <c r="B1542" s="1" t="str">
        <f>IFERROR(__xludf.DUMMYFUNCTION("GOOGLETRANSLATE(A1468, ""zh-CN"", ""en"")"),"Shandong Province")</f>
        <v>Shandong Province</v>
      </c>
      <c r="C1542" s="1" t="s">
        <v>1349</v>
      </c>
      <c r="D1542" s="1" t="str">
        <f>IFERROR(__xludf.DUMMYFUNCTION("GOOGLETRANSLATE(C1542, ""zh-CN"", ""en"")"),"Weifang")</f>
        <v>Weifang</v>
      </c>
      <c r="E1542" s="1" t="s">
        <v>1417</v>
      </c>
      <c r="F1542" s="1" t="str">
        <f>IFERROR(__xludf.DUMMYFUNCTION("GOOGLETRANSLATE(E1542, ""zh-CN"", ""en"")"),"Hansing District")</f>
        <v>Hansing District</v>
      </c>
      <c r="G1542" s="1">
        <v>3.70703E11</v>
      </c>
    </row>
    <row r="1543">
      <c r="A1543" s="1" t="s">
        <v>1342</v>
      </c>
      <c r="B1543" s="1" t="str">
        <f>IFERROR(__xludf.DUMMYFUNCTION("GOOGLETRANSLATE(A1469, ""zh-CN"", ""en"")"),"Shandong Province")</f>
        <v>Shandong Province</v>
      </c>
      <c r="C1543" s="1" t="s">
        <v>1349</v>
      </c>
      <c r="D1543" s="1" t="str">
        <f>IFERROR(__xludf.DUMMYFUNCTION("GOOGLETRANSLATE(C1543, ""zh-CN"", ""en"")"),"Weifang")</f>
        <v>Weifang</v>
      </c>
      <c r="E1543" s="1" t="s">
        <v>1418</v>
      </c>
      <c r="F1543" s="1" t="str">
        <f>IFERROR(__xludf.DUMMYFUNCTION("GOOGLETRANSLATE(E1543, ""zh-CN"", ""en"")"),"Fangzi District")</f>
        <v>Fangzi District</v>
      </c>
      <c r="G1543" s="1">
        <v>3.70704E11</v>
      </c>
    </row>
    <row r="1544">
      <c r="A1544" s="1" t="s">
        <v>1342</v>
      </c>
      <c r="B1544" s="1" t="str">
        <f>IFERROR(__xludf.DUMMYFUNCTION("GOOGLETRANSLATE(A1470, ""zh-CN"", ""en"")"),"Shandong Province")</f>
        <v>Shandong Province</v>
      </c>
      <c r="C1544" s="1" t="s">
        <v>1349</v>
      </c>
      <c r="D1544" s="1" t="str">
        <f>IFERROR(__xludf.DUMMYFUNCTION("GOOGLETRANSLATE(C1544, ""zh-CN"", ""en"")"),"Weifang")</f>
        <v>Weifang</v>
      </c>
      <c r="E1544" s="1" t="s">
        <v>1419</v>
      </c>
      <c r="F1544" s="1" t="str">
        <f>IFERROR(__xludf.DUMMYFUNCTION("GOOGLETRANSLATE(E1544, ""zh-CN"", ""en"")"),"Kuiwen District")</f>
        <v>Kuiwen District</v>
      </c>
      <c r="G1544" s="1">
        <v>3.70705E11</v>
      </c>
    </row>
    <row r="1545">
      <c r="A1545" s="1" t="s">
        <v>1342</v>
      </c>
      <c r="B1545" s="1" t="str">
        <f>IFERROR(__xludf.DUMMYFUNCTION("GOOGLETRANSLATE(A1471, ""zh-CN"", ""en"")"),"Shandong Province")</f>
        <v>Shandong Province</v>
      </c>
      <c r="C1545" s="1" t="s">
        <v>1349</v>
      </c>
      <c r="D1545" s="1" t="str">
        <f>IFERROR(__xludf.DUMMYFUNCTION("GOOGLETRANSLATE(C1545, ""zh-CN"", ""en"")"),"Weifang")</f>
        <v>Weifang</v>
      </c>
      <c r="E1545" s="1" t="s">
        <v>1420</v>
      </c>
      <c r="F1545" s="1" t="str">
        <f>IFERROR(__xludf.DUMMYFUNCTION("GOOGLETRANSLATE(E1545, ""zh-CN"", ""en"")"),"Linyi County")</f>
        <v>Linyi County</v>
      </c>
      <c r="G1545" s="1">
        <v>3.70724E11</v>
      </c>
    </row>
    <row r="1546">
      <c r="A1546" s="1" t="s">
        <v>1342</v>
      </c>
      <c r="B1546" s="1" t="str">
        <f>IFERROR(__xludf.DUMMYFUNCTION("GOOGLETRANSLATE(A1472, ""zh-CN"", ""en"")"),"Shandong Province")</f>
        <v>Shandong Province</v>
      </c>
      <c r="C1546" s="1" t="s">
        <v>1349</v>
      </c>
      <c r="D1546" s="1" t="str">
        <f>IFERROR(__xludf.DUMMYFUNCTION("GOOGLETRANSLATE(C1546, ""zh-CN"", ""en"")"),"Weifang")</f>
        <v>Weifang</v>
      </c>
      <c r="E1546" s="1" t="s">
        <v>1421</v>
      </c>
      <c r="F1546" s="1" t="str">
        <f>IFERROR(__xludf.DUMMYFUNCTION("GOOGLETRANSLATE(E1546, ""zh-CN"", ""en"")"),"Changle County")</f>
        <v>Changle County</v>
      </c>
      <c r="G1546" s="1">
        <v>3.70725E11</v>
      </c>
    </row>
    <row r="1547">
      <c r="A1547" s="1" t="s">
        <v>1342</v>
      </c>
      <c r="B1547" s="1" t="str">
        <f>IFERROR(__xludf.DUMMYFUNCTION("GOOGLETRANSLATE(A1473, ""zh-CN"", ""en"")"),"Shandong Province")</f>
        <v>Shandong Province</v>
      </c>
      <c r="C1547" s="1" t="s">
        <v>1349</v>
      </c>
      <c r="D1547" s="1" t="str">
        <f>IFERROR(__xludf.DUMMYFUNCTION("GOOGLETRANSLATE(C1547, ""zh-CN"", ""en"")"),"Weifang")</f>
        <v>Weifang</v>
      </c>
      <c r="E1547" s="1" t="s">
        <v>1422</v>
      </c>
      <c r="F1547" s="1" t="str">
        <f>IFERROR(__xludf.DUMMYFUNCTION("GOOGLETRANSLATE(E1547, ""zh-CN"", ""en"")"),"Weifang Binhai Economic and Technological Development Zone")</f>
        <v>Weifang Binhai Economic and Technological Development Zone</v>
      </c>
      <c r="G1547" s="1">
        <v>3.70772E11</v>
      </c>
    </row>
    <row r="1548">
      <c r="A1548" s="1" t="s">
        <v>1342</v>
      </c>
      <c r="B1548" s="1" t="str">
        <f>IFERROR(__xludf.DUMMYFUNCTION("GOOGLETRANSLATE(A1474, ""zh-CN"", ""en"")"),"Shandong Province")</f>
        <v>Shandong Province</v>
      </c>
      <c r="C1548" s="1" t="s">
        <v>1349</v>
      </c>
      <c r="D1548" s="1" t="str">
        <f>IFERROR(__xludf.DUMMYFUNCTION("GOOGLETRANSLATE(C1548, ""zh-CN"", ""en"")"),"Weifang")</f>
        <v>Weifang</v>
      </c>
      <c r="E1548" s="1" t="s">
        <v>1423</v>
      </c>
      <c r="F1548" s="1" t="str">
        <f>IFERROR(__xludf.DUMMYFUNCTION("GOOGLETRANSLATE(E1548, ""zh-CN"", ""en"")"),"Qingzhou")</f>
        <v>Qingzhou</v>
      </c>
      <c r="G1548" s="1">
        <v>3.70781E11</v>
      </c>
    </row>
    <row r="1549">
      <c r="A1549" s="1" t="s">
        <v>1342</v>
      </c>
      <c r="B1549" s="1" t="str">
        <f>IFERROR(__xludf.DUMMYFUNCTION("GOOGLETRANSLATE(A1475, ""zh-CN"", ""en"")"),"Shandong Province")</f>
        <v>Shandong Province</v>
      </c>
      <c r="C1549" s="1" t="s">
        <v>1349</v>
      </c>
      <c r="D1549" s="1" t="str">
        <f>IFERROR(__xludf.DUMMYFUNCTION("GOOGLETRANSLATE(C1549, ""zh-CN"", ""en"")"),"Weifang")</f>
        <v>Weifang</v>
      </c>
      <c r="E1549" s="1" t="s">
        <v>1424</v>
      </c>
      <c r="F1549" s="1" t="str">
        <f>IFERROR(__xludf.DUMMYFUNCTION("GOOGLETRANSLATE(E1549, ""zh-CN"", ""en"")"),"Cities")</f>
        <v>Cities</v>
      </c>
      <c r="G1549" s="1">
        <v>3.70782E11</v>
      </c>
    </row>
    <row r="1550">
      <c r="A1550" s="1" t="s">
        <v>1342</v>
      </c>
      <c r="B1550" s="1" t="str">
        <f>IFERROR(__xludf.DUMMYFUNCTION("GOOGLETRANSLATE(A1476, ""zh-CN"", ""en"")"),"Shandong Province")</f>
        <v>Shandong Province</v>
      </c>
      <c r="C1550" s="1" t="s">
        <v>1349</v>
      </c>
      <c r="D1550" s="1" t="str">
        <f>IFERROR(__xludf.DUMMYFUNCTION("GOOGLETRANSLATE(C1550, ""zh-CN"", ""en"")"),"Weifang")</f>
        <v>Weifang</v>
      </c>
      <c r="E1550" s="1" t="s">
        <v>1425</v>
      </c>
      <c r="F1550" s="1" t="str">
        <f>IFERROR(__xludf.DUMMYFUNCTION("GOOGLETRANSLATE(E1550, ""zh-CN"", ""en"")"),"Shouguang City")</f>
        <v>Shouguang City</v>
      </c>
      <c r="G1550" s="1">
        <v>3.70783E11</v>
      </c>
    </row>
    <row r="1551">
      <c r="A1551" s="1" t="s">
        <v>1342</v>
      </c>
      <c r="B1551" s="1" t="str">
        <f>IFERROR(__xludf.DUMMYFUNCTION("GOOGLETRANSLATE(A1477, ""zh-CN"", ""en"")"),"Shandong Province")</f>
        <v>Shandong Province</v>
      </c>
      <c r="C1551" s="1" t="s">
        <v>1349</v>
      </c>
      <c r="D1551" s="1" t="str">
        <f>IFERROR(__xludf.DUMMYFUNCTION("GOOGLETRANSLATE(C1551, ""zh-CN"", ""en"")"),"Weifang")</f>
        <v>Weifang</v>
      </c>
      <c r="E1551" s="1" t="s">
        <v>1426</v>
      </c>
      <c r="F1551" s="1" t="str">
        <f>IFERROR(__xludf.DUMMYFUNCTION("GOOGLETRANSLATE(E1551, ""zh-CN"", ""en"")"),"Anqiu City")</f>
        <v>Anqiu City</v>
      </c>
      <c r="G1551" s="1">
        <v>3.70784E11</v>
      </c>
    </row>
    <row r="1552">
      <c r="A1552" s="1" t="s">
        <v>1342</v>
      </c>
      <c r="B1552" s="1" t="str">
        <f>IFERROR(__xludf.DUMMYFUNCTION("GOOGLETRANSLATE(A1478, ""zh-CN"", ""en"")"),"Shandong Province")</f>
        <v>Shandong Province</v>
      </c>
      <c r="C1552" s="1" t="s">
        <v>1349</v>
      </c>
      <c r="D1552" s="1" t="str">
        <f>IFERROR(__xludf.DUMMYFUNCTION("GOOGLETRANSLATE(C1552, ""zh-CN"", ""en"")"),"Weifang")</f>
        <v>Weifang</v>
      </c>
      <c r="E1552" s="1" t="s">
        <v>1427</v>
      </c>
      <c r="F1552" s="1" t="str">
        <f>IFERROR(__xludf.DUMMYFUNCTION("GOOGLETRANSLATE(E1552, ""zh-CN"", ""en"")"),"Gao Mi City")</f>
        <v>Gao Mi City</v>
      </c>
      <c r="G1552" s="1">
        <v>3.70785E11</v>
      </c>
    </row>
    <row r="1553">
      <c r="A1553" s="1" t="s">
        <v>1342</v>
      </c>
      <c r="B1553" s="1" t="str">
        <f>IFERROR(__xludf.DUMMYFUNCTION("GOOGLETRANSLATE(A1479, ""zh-CN"", ""en"")"),"Shandong Province")</f>
        <v>Shandong Province</v>
      </c>
      <c r="C1553" s="1" t="s">
        <v>1349</v>
      </c>
      <c r="D1553" s="1" t="str">
        <f>IFERROR(__xludf.DUMMYFUNCTION("GOOGLETRANSLATE(C1553, ""zh-CN"", ""en"")"),"Weifang")</f>
        <v>Weifang</v>
      </c>
      <c r="E1553" s="1" t="s">
        <v>1428</v>
      </c>
      <c r="F1553" s="1" t="str">
        <f>IFERROR(__xludf.DUMMYFUNCTION("GOOGLETRANSLATE(E1553, ""zh-CN"", ""en"")"),"Changyi City")</f>
        <v>Changyi City</v>
      </c>
      <c r="G1553" s="1">
        <v>3.70786E11</v>
      </c>
    </row>
    <row r="1554">
      <c r="A1554" s="1" t="s">
        <v>1342</v>
      </c>
      <c r="B1554" s="1" t="str">
        <f>IFERROR(__xludf.DUMMYFUNCTION("GOOGLETRANSLATE(A1480, ""zh-CN"", ""en"")"),"Shandong Province")</f>
        <v>Shandong Province</v>
      </c>
      <c r="C1554" s="1" t="s">
        <v>1350</v>
      </c>
      <c r="D1554" s="1" t="str">
        <f>IFERROR(__xludf.DUMMYFUNCTION("GOOGLETRANSLATE(C1554, ""zh-CN"", ""en"")"),"Jining City")</f>
        <v>Jining City</v>
      </c>
      <c r="E1554" s="1" t="s">
        <v>24</v>
      </c>
      <c r="F1554" s="1" t="str">
        <f>IFERROR(__xludf.DUMMYFUNCTION("GOOGLETRANSLATE(E1554, ""zh-CN"", ""en"")"),"City area")</f>
        <v>City area</v>
      </c>
      <c r="G1554" s="1">
        <v>3.70801E11</v>
      </c>
    </row>
    <row r="1555">
      <c r="A1555" s="1" t="s">
        <v>1342</v>
      </c>
      <c r="B1555" s="1" t="str">
        <f>IFERROR(__xludf.DUMMYFUNCTION("GOOGLETRANSLATE(A1481, ""zh-CN"", ""en"")"),"Shandong Province")</f>
        <v>Shandong Province</v>
      </c>
      <c r="C1555" s="1" t="s">
        <v>1350</v>
      </c>
      <c r="D1555" s="1" t="str">
        <f>IFERROR(__xludf.DUMMYFUNCTION("GOOGLETRANSLATE(C1555, ""zh-CN"", ""en"")"),"Jining City")</f>
        <v>Jining City</v>
      </c>
      <c r="E1555" s="1" t="s">
        <v>1429</v>
      </c>
      <c r="F1555" s="1" t="str">
        <f>IFERROR(__xludf.DUMMYFUNCTION("GOOGLETRANSLATE(E1555, ""zh-CN"", ""en"")"),"Cities")</f>
        <v>Cities</v>
      </c>
      <c r="G1555" s="1">
        <v>3.70811E11</v>
      </c>
    </row>
    <row r="1556">
      <c r="A1556" s="1" t="s">
        <v>1342</v>
      </c>
      <c r="B1556" s="1" t="str">
        <f>IFERROR(__xludf.DUMMYFUNCTION("GOOGLETRANSLATE(A1482, ""zh-CN"", ""en"")"),"Shandong Province")</f>
        <v>Shandong Province</v>
      </c>
      <c r="C1556" s="1" t="s">
        <v>1350</v>
      </c>
      <c r="D1556" s="1" t="str">
        <f>IFERROR(__xludf.DUMMYFUNCTION("GOOGLETRANSLATE(C1556, ""zh-CN"", ""en"")"),"Jining City")</f>
        <v>Jining City</v>
      </c>
      <c r="E1556" s="1" t="s">
        <v>1430</v>
      </c>
      <c r="F1556" s="1" t="str">
        <f>IFERROR(__xludf.DUMMYFUNCTION("GOOGLETRANSLATE(E1556, ""zh-CN"", ""en"")"),"Yanzhou District")</f>
        <v>Yanzhou District</v>
      </c>
      <c r="G1556" s="1">
        <v>3.70812E11</v>
      </c>
    </row>
    <row r="1557">
      <c r="A1557" s="1" t="s">
        <v>1342</v>
      </c>
      <c r="B1557" s="1" t="str">
        <f>IFERROR(__xludf.DUMMYFUNCTION("GOOGLETRANSLATE(A1483, ""zh-CN"", ""en"")"),"Shandong Province")</f>
        <v>Shandong Province</v>
      </c>
      <c r="C1557" s="1" t="s">
        <v>1350</v>
      </c>
      <c r="D1557" s="1" t="str">
        <f>IFERROR(__xludf.DUMMYFUNCTION("GOOGLETRANSLATE(C1557, ""zh-CN"", ""en"")"),"Jining City")</f>
        <v>Jining City</v>
      </c>
      <c r="E1557" s="1" t="s">
        <v>1431</v>
      </c>
      <c r="F1557" s="1" t="str">
        <f>IFERROR(__xludf.DUMMYFUNCTION("GOOGLETRANSLATE(E1557, ""zh-CN"", ""en"")"),"Weishan County")</f>
        <v>Weishan County</v>
      </c>
      <c r="G1557" s="1">
        <v>3.70826E11</v>
      </c>
    </row>
    <row r="1558">
      <c r="A1558" s="1" t="s">
        <v>1342</v>
      </c>
      <c r="B1558" s="1" t="str">
        <f>IFERROR(__xludf.DUMMYFUNCTION("GOOGLETRANSLATE(A1484, ""zh-CN"", ""en"")"),"Shandong Province")</f>
        <v>Shandong Province</v>
      </c>
      <c r="C1558" s="1" t="s">
        <v>1350</v>
      </c>
      <c r="D1558" s="1" t="str">
        <f>IFERROR(__xludf.DUMMYFUNCTION("GOOGLETRANSLATE(C1558, ""zh-CN"", ""en"")"),"Jining City")</f>
        <v>Jining City</v>
      </c>
      <c r="E1558" s="1" t="s">
        <v>1432</v>
      </c>
      <c r="F1558" s="1" t="str">
        <f>IFERROR(__xludf.DUMMYFUNCTION("GOOGLETRANSLATE(E1558, ""zh-CN"", ""en"")"),"Yutai County")</f>
        <v>Yutai County</v>
      </c>
      <c r="G1558" s="1">
        <v>3.70827E11</v>
      </c>
    </row>
    <row r="1559">
      <c r="A1559" s="1" t="s">
        <v>1342</v>
      </c>
      <c r="B1559" s="1" t="str">
        <f>IFERROR(__xludf.DUMMYFUNCTION("GOOGLETRANSLATE(A1485, ""zh-CN"", ""en"")"),"Shandong Province")</f>
        <v>Shandong Province</v>
      </c>
      <c r="C1559" s="1" t="s">
        <v>1350</v>
      </c>
      <c r="D1559" s="1" t="str">
        <f>IFERROR(__xludf.DUMMYFUNCTION("GOOGLETRANSLATE(C1559, ""zh-CN"", ""en"")"),"Jining City")</f>
        <v>Jining City</v>
      </c>
      <c r="E1559" s="1" t="s">
        <v>1433</v>
      </c>
      <c r="F1559" s="1" t="str">
        <f>IFERROR(__xludf.DUMMYFUNCTION("GOOGLETRANSLATE(E1559, ""zh-CN"", ""en"")"),"Jinxiang County")</f>
        <v>Jinxiang County</v>
      </c>
      <c r="G1559" s="1">
        <v>3.70828E11</v>
      </c>
    </row>
    <row r="1560">
      <c r="A1560" s="1" t="s">
        <v>1342</v>
      </c>
      <c r="B1560" s="1" t="str">
        <f>IFERROR(__xludf.DUMMYFUNCTION("GOOGLETRANSLATE(A1486, ""zh-CN"", ""en"")"),"Shandong Province")</f>
        <v>Shandong Province</v>
      </c>
      <c r="C1560" s="1" t="s">
        <v>1350</v>
      </c>
      <c r="D1560" s="1" t="str">
        <f>IFERROR(__xludf.DUMMYFUNCTION("GOOGLETRANSLATE(C1560, ""zh-CN"", ""en"")"),"Jining City")</f>
        <v>Jining City</v>
      </c>
      <c r="E1560" s="1" t="s">
        <v>1434</v>
      </c>
      <c r="F1560" s="1" t="str">
        <f>IFERROR(__xludf.DUMMYFUNCTION("GOOGLETRANSLATE(E1560, ""zh-CN"", ""en"")"),"Jiaxiang County")</f>
        <v>Jiaxiang County</v>
      </c>
      <c r="G1560" s="1">
        <v>3.70829E11</v>
      </c>
    </row>
    <row r="1561">
      <c r="A1561" s="1" t="s">
        <v>1342</v>
      </c>
      <c r="B1561" s="1" t="str">
        <f>IFERROR(__xludf.DUMMYFUNCTION("GOOGLETRANSLATE(A1487, ""zh-CN"", ""en"")"),"Shandong Province")</f>
        <v>Shandong Province</v>
      </c>
      <c r="C1561" s="1" t="s">
        <v>1350</v>
      </c>
      <c r="D1561" s="1" t="str">
        <f>IFERROR(__xludf.DUMMYFUNCTION("GOOGLETRANSLATE(C1561, ""zh-CN"", ""en"")"),"Jining City")</f>
        <v>Jining City</v>
      </c>
      <c r="E1561" s="1" t="s">
        <v>1435</v>
      </c>
      <c r="F1561" s="1" t="str">
        <f>IFERROR(__xludf.DUMMYFUNCTION("GOOGLETRANSLATE(E1561, ""zh-CN"", ""en"")"),"Wenshang County")</f>
        <v>Wenshang County</v>
      </c>
      <c r="G1561" s="1">
        <v>3.7083E11</v>
      </c>
    </row>
    <row r="1562">
      <c r="A1562" s="1" t="s">
        <v>1342</v>
      </c>
      <c r="B1562" s="1" t="str">
        <f>IFERROR(__xludf.DUMMYFUNCTION("GOOGLETRANSLATE(A1488, ""zh-CN"", ""en"")"),"Shandong Province")</f>
        <v>Shandong Province</v>
      </c>
      <c r="C1562" s="1" t="s">
        <v>1350</v>
      </c>
      <c r="D1562" s="1" t="str">
        <f>IFERROR(__xludf.DUMMYFUNCTION("GOOGLETRANSLATE(C1562, ""zh-CN"", ""en"")"),"Jining City")</f>
        <v>Jining City</v>
      </c>
      <c r="E1562" s="1" t="s">
        <v>1436</v>
      </c>
      <c r="F1562" s="1" t="str">
        <f>IFERROR(__xludf.DUMMYFUNCTION("GOOGLETRANSLATE(E1562, ""zh-CN"", ""en"")"),"Surabaya County")</f>
        <v>Surabaya County</v>
      </c>
      <c r="G1562" s="1">
        <v>3.70831E11</v>
      </c>
    </row>
    <row r="1563">
      <c r="A1563" s="1" t="s">
        <v>1342</v>
      </c>
      <c r="B1563" s="1" t="str">
        <f>IFERROR(__xludf.DUMMYFUNCTION("GOOGLETRANSLATE(A1489, ""zh-CN"", ""en"")"),"Shandong Province")</f>
        <v>Shandong Province</v>
      </c>
      <c r="C1563" s="1" t="s">
        <v>1350</v>
      </c>
      <c r="D1563" s="1" t="str">
        <f>IFERROR(__xludf.DUMMYFUNCTION("GOOGLETRANSLATE(C1563, ""zh-CN"", ""en"")"),"Jining City")</f>
        <v>Jining City</v>
      </c>
      <c r="E1563" s="1" t="s">
        <v>1437</v>
      </c>
      <c r="F1563" s="1" t="str">
        <f>IFERROR(__xludf.DUMMYFUNCTION("GOOGLETRANSLATE(E1563, ""zh-CN"", ""en"")"),"Liangshan County")</f>
        <v>Liangshan County</v>
      </c>
      <c r="G1563" s="1">
        <v>3.70832E11</v>
      </c>
    </row>
    <row r="1564">
      <c r="A1564" s="1" t="s">
        <v>1342</v>
      </c>
      <c r="B1564" s="1" t="str">
        <f>IFERROR(__xludf.DUMMYFUNCTION("GOOGLETRANSLATE(A1490, ""zh-CN"", ""en"")"),"Shandong Province")</f>
        <v>Shandong Province</v>
      </c>
      <c r="C1564" s="1" t="s">
        <v>1350</v>
      </c>
      <c r="D1564" s="1" t="str">
        <f>IFERROR(__xludf.DUMMYFUNCTION("GOOGLETRANSLATE(C1564, ""zh-CN"", ""en"")"),"Jining City")</f>
        <v>Jining City</v>
      </c>
      <c r="E1564" s="1" t="s">
        <v>1438</v>
      </c>
      <c r="F1564" s="1" t="str">
        <f>IFERROR(__xludf.DUMMYFUNCTION("GOOGLETRANSLATE(E1564, ""zh-CN"", ""en"")"),"Jining High -tech Industrial Development Zone")</f>
        <v>Jining High -tech Industrial Development Zone</v>
      </c>
      <c r="G1564" s="1">
        <v>3.70871E11</v>
      </c>
    </row>
    <row r="1565">
      <c r="A1565" s="1" t="s">
        <v>1342</v>
      </c>
      <c r="B1565" s="1" t="str">
        <f>IFERROR(__xludf.DUMMYFUNCTION("GOOGLETRANSLATE(A1491, ""zh-CN"", ""en"")"),"Shandong Province")</f>
        <v>Shandong Province</v>
      </c>
      <c r="C1565" s="1" t="s">
        <v>1350</v>
      </c>
      <c r="D1565" s="1" t="str">
        <f>IFERROR(__xludf.DUMMYFUNCTION("GOOGLETRANSLATE(C1565, ""zh-CN"", ""en"")"),"Jining City")</f>
        <v>Jining City</v>
      </c>
      <c r="E1565" s="1" t="s">
        <v>1439</v>
      </c>
      <c r="F1565" s="1" t="str">
        <f>IFERROR(__xludf.DUMMYFUNCTION("GOOGLETRANSLATE(E1565, ""zh-CN"", ""en"")"),"Qufu City")</f>
        <v>Qufu City</v>
      </c>
      <c r="G1565" s="1">
        <v>3.70881E11</v>
      </c>
    </row>
    <row r="1566">
      <c r="A1566" s="1" t="s">
        <v>1342</v>
      </c>
      <c r="B1566" s="1" t="str">
        <f>IFERROR(__xludf.DUMMYFUNCTION("GOOGLETRANSLATE(A1492, ""zh-CN"", ""en"")"),"Shandong Province")</f>
        <v>Shandong Province</v>
      </c>
      <c r="C1566" s="1" t="s">
        <v>1350</v>
      </c>
      <c r="D1566" s="1" t="str">
        <f>IFERROR(__xludf.DUMMYFUNCTION("GOOGLETRANSLATE(C1566, ""zh-CN"", ""en"")"),"Jining City")</f>
        <v>Jining City</v>
      </c>
      <c r="E1566" s="1" t="s">
        <v>1440</v>
      </c>
      <c r="F1566" s="1" t="str">
        <f>IFERROR(__xludf.DUMMYFUNCTION("GOOGLETRANSLATE(E1566, ""zh-CN"", ""en"")"),"Zou city")</f>
        <v>Zou city</v>
      </c>
      <c r="G1566" s="1">
        <v>3.70883E11</v>
      </c>
    </row>
    <row r="1567">
      <c r="A1567" s="1" t="s">
        <v>1342</v>
      </c>
      <c r="B1567" s="1" t="str">
        <f>IFERROR(__xludf.DUMMYFUNCTION("GOOGLETRANSLATE(A1493, ""zh-CN"", ""en"")"),"Shandong Province")</f>
        <v>Shandong Province</v>
      </c>
      <c r="C1567" s="1" t="s">
        <v>1351</v>
      </c>
      <c r="D1567" s="1" t="str">
        <f>IFERROR(__xludf.DUMMYFUNCTION("GOOGLETRANSLATE(C1567, ""zh-CN"", ""en"")"),"Tai'an City")</f>
        <v>Tai'an City</v>
      </c>
      <c r="E1567" s="1" t="s">
        <v>24</v>
      </c>
      <c r="F1567" s="1" t="str">
        <f>IFERROR(__xludf.DUMMYFUNCTION("GOOGLETRANSLATE(E1567, ""zh-CN"", ""en"")"),"City area")</f>
        <v>City area</v>
      </c>
      <c r="G1567" s="1">
        <v>3.70901E11</v>
      </c>
    </row>
    <row r="1568">
      <c r="A1568" s="1" t="s">
        <v>1342</v>
      </c>
      <c r="B1568" s="1" t="str">
        <f>IFERROR(__xludf.DUMMYFUNCTION("GOOGLETRANSLATE(A1494, ""zh-CN"", ""en"")"),"Shandong Province")</f>
        <v>Shandong Province</v>
      </c>
      <c r="C1568" s="1" t="s">
        <v>1351</v>
      </c>
      <c r="D1568" s="1" t="str">
        <f>IFERROR(__xludf.DUMMYFUNCTION("GOOGLETRANSLATE(C1568, ""zh-CN"", ""en"")"),"Tai'an City")</f>
        <v>Tai'an City</v>
      </c>
      <c r="E1568" s="1" t="s">
        <v>1441</v>
      </c>
      <c r="F1568" s="1" t="str">
        <f>IFERROR(__xludf.DUMMYFUNCTION("GOOGLETRANSLATE(E1568, ""zh-CN"", ""en"")"),"Taishan District")</f>
        <v>Taishan District</v>
      </c>
      <c r="G1568" s="1">
        <v>3.70902E11</v>
      </c>
    </row>
    <row r="1569">
      <c r="A1569" s="1" t="s">
        <v>1342</v>
      </c>
      <c r="B1569" s="1" t="str">
        <f>IFERROR(__xludf.DUMMYFUNCTION("GOOGLETRANSLATE(A1495, ""zh-CN"", ""en"")"),"Shandong Province")</f>
        <v>Shandong Province</v>
      </c>
      <c r="C1569" s="1" t="s">
        <v>1351</v>
      </c>
      <c r="D1569" s="1" t="str">
        <f>IFERROR(__xludf.DUMMYFUNCTION("GOOGLETRANSLATE(C1569, ""zh-CN"", ""en"")"),"Tai'an City")</f>
        <v>Tai'an City</v>
      </c>
      <c r="E1569" s="1" t="s">
        <v>1442</v>
      </c>
      <c r="F1569" s="1" t="str">
        <f>IFERROR(__xludf.DUMMYFUNCTION("GOOGLETRANSLATE(E1569, ""zh-CN"", ""en"")"),"Daiyue District")</f>
        <v>Daiyue District</v>
      </c>
      <c r="G1569" s="1">
        <v>3.70911E11</v>
      </c>
    </row>
    <row r="1570">
      <c r="A1570" s="1" t="s">
        <v>1342</v>
      </c>
      <c r="B1570" s="1" t="str">
        <f>IFERROR(__xludf.DUMMYFUNCTION("GOOGLETRANSLATE(A1496, ""zh-CN"", ""en"")"),"Shandong Province")</f>
        <v>Shandong Province</v>
      </c>
      <c r="C1570" s="1" t="s">
        <v>1351</v>
      </c>
      <c r="D1570" s="1" t="str">
        <f>IFERROR(__xludf.DUMMYFUNCTION("GOOGLETRANSLATE(C1570, ""zh-CN"", ""en"")"),"Tai'an City")</f>
        <v>Tai'an City</v>
      </c>
      <c r="E1570" s="1" t="s">
        <v>1443</v>
      </c>
      <c r="F1570" s="1" t="str">
        <f>IFERROR(__xludf.DUMMYFUNCTION("GOOGLETRANSLATE(E1570, ""zh-CN"", ""en"")"),"Ningyang County")</f>
        <v>Ningyang County</v>
      </c>
      <c r="G1570" s="1">
        <v>3.70921E11</v>
      </c>
    </row>
    <row r="1571">
      <c r="A1571" s="1" t="s">
        <v>1342</v>
      </c>
      <c r="B1571" s="1" t="str">
        <f>IFERROR(__xludf.DUMMYFUNCTION("GOOGLETRANSLATE(A1497, ""zh-CN"", ""en"")"),"Shandong Province")</f>
        <v>Shandong Province</v>
      </c>
      <c r="C1571" s="1" t="s">
        <v>1351</v>
      </c>
      <c r="D1571" s="1" t="str">
        <f>IFERROR(__xludf.DUMMYFUNCTION("GOOGLETRANSLATE(C1571, ""zh-CN"", ""en"")"),"Tai'an City")</f>
        <v>Tai'an City</v>
      </c>
      <c r="E1571" s="1" t="s">
        <v>1444</v>
      </c>
      <c r="F1571" s="1" t="str">
        <f>IFERROR(__xludf.DUMMYFUNCTION("GOOGLETRANSLATE(E1571, ""zh-CN"", ""en"")"),"Dongping County")</f>
        <v>Dongping County</v>
      </c>
      <c r="G1571" s="1">
        <v>3.70923E11</v>
      </c>
    </row>
    <row r="1572">
      <c r="A1572" s="1" t="s">
        <v>1342</v>
      </c>
      <c r="B1572" s="1" t="str">
        <f>IFERROR(__xludf.DUMMYFUNCTION("GOOGLETRANSLATE(A1498, ""zh-CN"", ""en"")"),"Shandong Province")</f>
        <v>Shandong Province</v>
      </c>
      <c r="C1572" s="1" t="s">
        <v>1351</v>
      </c>
      <c r="D1572" s="1" t="str">
        <f>IFERROR(__xludf.DUMMYFUNCTION("GOOGLETRANSLATE(C1572, ""zh-CN"", ""en"")"),"Tai'an City")</f>
        <v>Tai'an City</v>
      </c>
      <c r="E1572" s="1" t="s">
        <v>1445</v>
      </c>
      <c r="F1572" s="1" t="str">
        <f>IFERROR(__xludf.DUMMYFUNCTION("GOOGLETRANSLATE(E1572, ""zh-CN"", ""en"")"),"Xintai City")</f>
        <v>Xintai City</v>
      </c>
      <c r="G1572" s="1">
        <v>3.70982E11</v>
      </c>
    </row>
    <row r="1573">
      <c r="A1573" s="1" t="s">
        <v>1342</v>
      </c>
      <c r="B1573" s="1" t="str">
        <f>IFERROR(__xludf.DUMMYFUNCTION("GOOGLETRANSLATE(A1499, ""zh-CN"", ""en"")"),"Shandong Province")</f>
        <v>Shandong Province</v>
      </c>
      <c r="C1573" s="1" t="s">
        <v>1351</v>
      </c>
      <c r="D1573" s="1" t="str">
        <f>IFERROR(__xludf.DUMMYFUNCTION("GOOGLETRANSLATE(C1573, ""zh-CN"", ""en"")"),"Tai'an City")</f>
        <v>Tai'an City</v>
      </c>
      <c r="E1573" s="1" t="s">
        <v>1446</v>
      </c>
      <c r="F1573" s="1" t="str">
        <f>IFERROR(__xludf.DUMMYFUNCTION("GOOGLETRANSLATE(E1573, ""zh-CN"", ""en"")"),"Fat city")</f>
        <v>Fat city</v>
      </c>
      <c r="G1573" s="1">
        <v>3.70983E11</v>
      </c>
    </row>
    <row r="1574">
      <c r="A1574" s="1" t="s">
        <v>1342</v>
      </c>
      <c r="B1574" s="1" t="str">
        <f>IFERROR(__xludf.DUMMYFUNCTION("GOOGLETRANSLATE(A1500, ""zh-CN"", ""en"")"),"Shandong Province")</f>
        <v>Shandong Province</v>
      </c>
      <c r="C1574" s="1" t="s">
        <v>1352</v>
      </c>
      <c r="D1574" s="1" t="str">
        <f>IFERROR(__xludf.DUMMYFUNCTION("GOOGLETRANSLATE(C1574, ""zh-CN"", ""en"")"),"Weihai")</f>
        <v>Weihai</v>
      </c>
      <c r="E1574" s="1" t="s">
        <v>24</v>
      </c>
      <c r="F1574" s="1" t="str">
        <f>IFERROR(__xludf.DUMMYFUNCTION("GOOGLETRANSLATE(E1574, ""zh-CN"", ""en"")"),"City area")</f>
        <v>City area</v>
      </c>
      <c r="G1574" s="1">
        <v>3.71001E11</v>
      </c>
    </row>
    <row r="1575">
      <c r="A1575" s="1" t="s">
        <v>1342</v>
      </c>
      <c r="B1575" s="1" t="str">
        <f>IFERROR(__xludf.DUMMYFUNCTION("GOOGLETRANSLATE(A1501, ""zh-CN"", ""en"")"),"Shandong Province")</f>
        <v>Shandong Province</v>
      </c>
      <c r="C1575" s="1" t="s">
        <v>1352</v>
      </c>
      <c r="D1575" s="1" t="str">
        <f>IFERROR(__xludf.DUMMYFUNCTION("GOOGLETRANSLATE(C1575, ""zh-CN"", ""en"")"),"Weihai")</f>
        <v>Weihai</v>
      </c>
      <c r="E1575" s="1" t="s">
        <v>1447</v>
      </c>
      <c r="F1575" s="1" t="str">
        <f>IFERROR(__xludf.DUMMYFUNCTION("GOOGLETRANSLATE(E1575, ""zh-CN"", ""en"")"),"Huancui District")</f>
        <v>Huancui District</v>
      </c>
      <c r="G1575" s="1">
        <v>3.71002E11</v>
      </c>
    </row>
    <row r="1576">
      <c r="A1576" s="1" t="s">
        <v>1342</v>
      </c>
      <c r="B1576" s="1" t="str">
        <f>IFERROR(__xludf.DUMMYFUNCTION("GOOGLETRANSLATE(A1502, ""zh-CN"", ""en"")"),"Shandong Province")</f>
        <v>Shandong Province</v>
      </c>
      <c r="C1576" s="1" t="s">
        <v>1352</v>
      </c>
      <c r="D1576" s="1" t="str">
        <f>IFERROR(__xludf.DUMMYFUNCTION("GOOGLETRANSLATE(C1576, ""zh-CN"", ""en"")"),"Weihai")</f>
        <v>Weihai</v>
      </c>
      <c r="E1576" s="1" t="s">
        <v>1448</v>
      </c>
      <c r="F1576" s="1" t="str">
        <f>IFERROR(__xludf.DUMMYFUNCTION("GOOGLETRANSLATE(E1576, ""zh-CN"", ""en"")"),"Wendeng District")</f>
        <v>Wendeng District</v>
      </c>
      <c r="G1576" s="1">
        <v>3.71003E11</v>
      </c>
    </row>
    <row r="1577">
      <c r="A1577" s="1" t="s">
        <v>1342</v>
      </c>
      <c r="B1577" s="1" t="str">
        <f>IFERROR(__xludf.DUMMYFUNCTION("GOOGLETRANSLATE(A1503, ""zh-CN"", ""en"")"),"Shandong Province")</f>
        <v>Shandong Province</v>
      </c>
      <c r="C1577" s="1" t="s">
        <v>1352</v>
      </c>
      <c r="D1577" s="1" t="str">
        <f>IFERROR(__xludf.DUMMYFUNCTION("GOOGLETRANSLATE(C1577, ""zh-CN"", ""en"")"),"Weihai")</f>
        <v>Weihai</v>
      </c>
      <c r="E1577" s="1" t="s">
        <v>1449</v>
      </c>
      <c r="F1577" s="1" t="str">
        <f>IFERROR(__xludf.DUMMYFUNCTION("GOOGLETRANSLATE(E1577, ""zh-CN"", ""en"")"),"Weihai Torch High -tech Industrial Development Zone")</f>
        <v>Weihai Torch High -tech Industrial Development Zone</v>
      </c>
      <c r="G1577" s="1">
        <v>3.71071E11</v>
      </c>
    </row>
    <row r="1578">
      <c r="A1578" s="1" t="s">
        <v>1342</v>
      </c>
      <c r="B1578" s="1" t="str">
        <f>IFERROR(__xludf.DUMMYFUNCTION("GOOGLETRANSLATE(A1504, ""zh-CN"", ""en"")"),"Shandong Province")</f>
        <v>Shandong Province</v>
      </c>
      <c r="C1578" s="1" t="s">
        <v>1352</v>
      </c>
      <c r="D1578" s="1" t="str">
        <f>IFERROR(__xludf.DUMMYFUNCTION("GOOGLETRANSLATE(C1578, ""zh-CN"", ""en"")"),"Weihai")</f>
        <v>Weihai</v>
      </c>
      <c r="E1578" s="1" t="s">
        <v>1450</v>
      </c>
      <c r="F1578" s="1" t="str">
        <f>IFERROR(__xludf.DUMMYFUNCTION("GOOGLETRANSLATE(E1578, ""zh-CN"", ""en"")"),"Weihai Economic and Technological Development Zone")</f>
        <v>Weihai Economic and Technological Development Zone</v>
      </c>
      <c r="G1578" s="1">
        <v>3.71072E11</v>
      </c>
    </row>
    <row r="1579">
      <c r="A1579" s="1" t="s">
        <v>1342</v>
      </c>
      <c r="B1579" s="1" t="str">
        <f>IFERROR(__xludf.DUMMYFUNCTION("GOOGLETRANSLATE(A1505, ""zh-CN"", ""en"")"),"Shandong Province")</f>
        <v>Shandong Province</v>
      </c>
      <c r="C1579" s="1" t="s">
        <v>1352</v>
      </c>
      <c r="D1579" s="1" t="str">
        <f>IFERROR(__xludf.DUMMYFUNCTION("GOOGLETRANSLATE(C1579, ""zh-CN"", ""en"")"),"Weihai")</f>
        <v>Weihai</v>
      </c>
      <c r="E1579" s="1" t="s">
        <v>1451</v>
      </c>
      <c r="F1579" s="1" t="str">
        <f>IFERROR(__xludf.DUMMYFUNCTION("GOOGLETRANSLATE(E1579, ""zh-CN"", ""en"")"),"Weihai Lingang Economic and Technological Development Zone")</f>
        <v>Weihai Lingang Economic and Technological Development Zone</v>
      </c>
      <c r="G1579" s="1">
        <v>3.71073E11</v>
      </c>
    </row>
    <row r="1580">
      <c r="A1580" s="1" t="s">
        <v>1342</v>
      </c>
      <c r="B1580" s="1" t="str">
        <f>IFERROR(__xludf.DUMMYFUNCTION("GOOGLETRANSLATE(A1506, ""zh-CN"", ""en"")"),"Shandong Province")</f>
        <v>Shandong Province</v>
      </c>
      <c r="C1580" s="1" t="s">
        <v>1352</v>
      </c>
      <c r="D1580" s="1" t="str">
        <f>IFERROR(__xludf.DUMMYFUNCTION("GOOGLETRANSLATE(C1580, ""zh-CN"", ""en"")"),"Weihai")</f>
        <v>Weihai</v>
      </c>
      <c r="E1580" s="1" t="s">
        <v>1452</v>
      </c>
      <c r="F1580" s="1" t="str">
        <f>IFERROR(__xludf.DUMMYFUNCTION("GOOGLETRANSLATE(E1580, ""zh-CN"", ""en"")"),"Rongcheng City")</f>
        <v>Rongcheng City</v>
      </c>
      <c r="G1580" s="1">
        <v>3.71082E11</v>
      </c>
    </row>
    <row r="1581">
      <c r="A1581" s="1" t="s">
        <v>1342</v>
      </c>
      <c r="B1581" s="1" t="str">
        <f>IFERROR(__xludf.DUMMYFUNCTION("GOOGLETRANSLATE(A1507, ""zh-CN"", ""en"")"),"Shandong Province")</f>
        <v>Shandong Province</v>
      </c>
      <c r="C1581" s="1" t="s">
        <v>1352</v>
      </c>
      <c r="D1581" s="1" t="str">
        <f>IFERROR(__xludf.DUMMYFUNCTION("GOOGLETRANSLATE(C1581, ""zh-CN"", ""en"")"),"Weihai")</f>
        <v>Weihai</v>
      </c>
      <c r="E1581" s="1" t="s">
        <v>1453</v>
      </c>
      <c r="F1581" s="1" t="str">
        <f>IFERROR(__xludf.DUMMYFUNCTION("GOOGLETRANSLATE(E1581, ""zh-CN"", ""en"")"),"Rushan City")</f>
        <v>Rushan City</v>
      </c>
      <c r="G1581" s="1">
        <v>3.71083E11</v>
      </c>
    </row>
    <row r="1582">
      <c r="A1582" s="1" t="s">
        <v>1342</v>
      </c>
      <c r="B1582" s="1" t="str">
        <f>IFERROR(__xludf.DUMMYFUNCTION("GOOGLETRANSLATE(A1508, ""zh-CN"", ""en"")"),"Shandong Province")</f>
        <v>Shandong Province</v>
      </c>
      <c r="C1582" s="1" t="s">
        <v>1353</v>
      </c>
      <c r="D1582" s="1" t="str">
        <f>IFERROR(__xludf.DUMMYFUNCTION("GOOGLETRANSLATE(C1582, ""zh-CN"", ""en"")"),"Rizhao City")</f>
        <v>Rizhao City</v>
      </c>
      <c r="E1582" s="1" t="s">
        <v>24</v>
      </c>
      <c r="F1582" s="1" t="str">
        <f>IFERROR(__xludf.DUMMYFUNCTION("GOOGLETRANSLATE(E1582, ""zh-CN"", ""en"")"),"City area")</f>
        <v>City area</v>
      </c>
      <c r="G1582" s="1">
        <v>3.71101E11</v>
      </c>
    </row>
    <row r="1583">
      <c r="A1583" s="1" t="s">
        <v>1342</v>
      </c>
      <c r="B1583" s="1" t="str">
        <f>IFERROR(__xludf.DUMMYFUNCTION("GOOGLETRANSLATE(A1509, ""zh-CN"", ""en"")"),"Shandong Province")</f>
        <v>Shandong Province</v>
      </c>
      <c r="C1583" s="1" t="s">
        <v>1353</v>
      </c>
      <c r="D1583" s="1" t="str">
        <f>IFERROR(__xludf.DUMMYFUNCTION("GOOGLETRANSLATE(C1583, ""zh-CN"", ""en"")"),"Rizhao City")</f>
        <v>Rizhao City</v>
      </c>
      <c r="E1583" s="1" t="s">
        <v>1454</v>
      </c>
      <c r="F1583" s="1" t="str">
        <f>IFERROR(__xludf.DUMMYFUNCTION("GOOGLETRANSLATE(E1583, ""zh-CN"", ""en"")"),"Donggang District")</f>
        <v>Donggang District</v>
      </c>
      <c r="G1583" s="1">
        <v>3.71102E11</v>
      </c>
    </row>
    <row r="1584">
      <c r="A1584" s="1" t="s">
        <v>1342</v>
      </c>
      <c r="B1584" s="1" t="str">
        <f>IFERROR(__xludf.DUMMYFUNCTION("GOOGLETRANSLATE(A1510, ""zh-CN"", ""en"")"),"Shandong Province")</f>
        <v>Shandong Province</v>
      </c>
      <c r="C1584" s="1" t="s">
        <v>1353</v>
      </c>
      <c r="D1584" s="1" t="str">
        <f>IFERROR(__xludf.DUMMYFUNCTION("GOOGLETRANSLATE(C1584, ""zh-CN"", ""en"")"),"Rizhao City")</f>
        <v>Rizhao City</v>
      </c>
      <c r="E1584" s="1" t="s">
        <v>1455</v>
      </c>
      <c r="F1584" s="1" t="str">
        <f>IFERROR(__xludf.DUMMYFUNCTION("GOOGLETRANSLATE(E1584, ""zh-CN"", ""en"")"),"Lanshan District")</f>
        <v>Lanshan District</v>
      </c>
      <c r="G1584" s="1">
        <v>3.71103E11</v>
      </c>
    </row>
    <row r="1585">
      <c r="A1585" s="1" t="s">
        <v>1342</v>
      </c>
      <c r="B1585" s="1" t="str">
        <f>IFERROR(__xludf.DUMMYFUNCTION("GOOGLETRANSLATE(A1511, ""zh-CN"", ""en"")"),"Shandong Province")</f>
        <v>Shandong Province</v>
      </c>
      <c r="C1585" s="1" t="s">
        <v>1353</v>
      </c>
      <c r="D1585" s="1" t="str">
        <f>IFERROR(__xludf.DUMMYFUNCTION("GOOGLETRANSLATE(C1585, ""zh-CN"", ""en"")"),"Rizhao City")</f>
        <v>Rizhao City</v>
      </c>
      <c r="E1585" s="1" t="s">
        <v>1456</v>
      </c>
      <c r="F1585" s="1" t="str">
        <f>IFERROR(__xludf.DUMMYFUNCTION("GOOGLETRANSLATE(E1585, ""zh-CN"", ""en"")"),"Wulian County")</f>
        <v>Wulian County</v>
      </c>
      <c r="G1585" s="1">
        <v>3.71121E11</v>
      </c>
    </row>
    <row r="1586">
      <c r="A1586" s="1" t="s">
        <v>1342</v>
      </c>
      <c r="B1586" s="1" t="str">
        <f>IFERROR(__xludf.DUMMYFUNCTION("GOOGLETRANSLATE(A1512, ""zh-CN"", ""en"")"),"Shandong Province")</f>
        <v>Shandong Province</v>
      </c>
      <c r="C1586" s="1" t="s">
        <v>1353</v>
      </c>
      <c r="D1586" s="1" t="str">
        <f>IFERROR(__xludf.DUMMYFUNCTION("GOOGLETRANSLATE(C1586, ""zh-CN"", ""en"")"),"Rizhao City")</f>
        <v>Rizhao City</v>
      </c>
      <c r="E1586" s="1" t="s">
        <v>1457</v>
      </c>
      <c r="F1586" s="1" t="str">
        <f>IFERROR(__xludf.DUMMYFUNCTION("GOOGLETRANSLATE(E1586, ""zh-CN"", ""en"")"),"Qixian County")</f>
        <v>Qixian County</v>
      </c>
      <c r="G1586" s="1">
        <v>3.71122E11</v>
      </c>
    </row>
    <row r="1587">
      <c r="A1587" s="1" t="s">
        <v>1342</v>
      </c>
      <c r="B1587" s="1" t="str">
        <f>IFERROR(__xludf.DUMMYFUNCTION("GOOGLETRANSLATE(A1513, ""zh-CN"", ""en"")"),"Shandong Province")</f>
        <v>Shandong Province</v>
      </c>
      <c r="C1587" s="1" t="s">
        <v>1353</v>
      </c>
      <c r="D1587" s="1" t="str">
        <f>IFERROR(__xludf.DUMMYFUNCTION("GOOGLETRANSLATE(C1587, ""zh-CN"", ""en"")"),"Rizhao City")</f>
        <v>Rizhao City</v>
      </c>
      <c r="E1587" s="1" t="s">
        <v>1458</v>
      </c>
      <c r="F1587" s="1" t="str">
        <f>IFERROR(__xludf.DUMMYFUNCTION("GOOGLETRANSLATE(E1587, ""zh-CN"", ""en"")"),"Rizhao Economic and Technological Development Zone")</f>
        <v>Rizhao Economic and Technological Development Zone</v>
      </c>
      <c r="G1587" s="1">
        <v>3.71171E11</v>
      </c>
    </row>
    <row r="1588">
      <c r="A1588" s="1" t="s">
        <v>1342</v>
      </c>
      <c r="B1588" s="1" t="str">
        <f>IFERROR(__xludf.DUMMYFUNCTION("GOOGLETRANSLATE(A1514, ""zh-CN"", ""en"")"),"Shandong Province")</f>
        <v>Shandong Province</v>
      </c>
      <c r="C1588" s="1" t="s">
        <v>1354</v>
      </c>
      <c r="D1588" s="1" t="str">
        <f>IFERROR(__xludf.DUMMYFUNCTION("GOOGLETRANSLATE(C1588, ""zh-CN"", ""en"")"),"Linyi City")</f>
        <v>Linyi City</v>
      </c>
      <c r="E1588" s="1" t="s">
        <v>24</v>
      </c>
      <c r="F1588" s="1" t="str">
        <f>IFERROR(__xludf.DUMMYFUNCTION("GOOGLETRANSLATE(E1588, ""zh-CN"", ""en"")"),"City area")</f>
        <v>City area</v>
      </c>
      <c r="G1588" s="1">
        <v>3.71301E11</v>
      </c>
    </row>
    <row r="1589">
      <c r="A1589" s="1" t="s">
        <v>1342</v>
      </c>
      <c r="B1589" s="1" t="str">
        <f>IFERROR(__xludf.DUMMYFUNCTION("GOOGLETRANSLATE(A1515, ""zh-CN"", ""en"")"),"Shandong Province")</f>
        <v>Shandong Province</v>
      </c>
      <c r="C1589" s="1" t="s">
        <v>1354</v>
      </c>
      <c r="D1589" s="1" t="str">
        <f>IFERROR(__xludf.DUMMYFUNCTION("GOOGLETRANSLATE(C1589, ""zh-CN"", ""en"")"),"Linyi City")</f>
        <v>Linyi City</v>
      </c>
      <c r="E1589" s="1" t="s">
        <v>1459</v>
      </c>
      <c r="F1589" s="1" t="str">
        <f>IFERROR(__xludf.DUMMYFUNCTION("GOOGLETRANSLATE(E1589, ""zh-CN"", ""en"")"),"Lan Mountain")</f>
        <v>Lan Mountain</v>
      </c>
      <c r="G1589" s="1">
        <v>3.71302E11</v>
      </c>
    </row>
    <row r="1590">
      <c r="A1590" s="1" t="s">
        <v>1342</v>
      </c>
      <c r="B1590" s="1" t="str">
        <f>IFERROR(__xludf.DUMMYFUNCTION("GOOGLETRANSLATE(A1516, ""zh-CN"", ""en"")"),"Shandong Province")</f>
        <v>Shandong Province</v>
      </c>
      <c r="C1590" s="1" t="s">
        <v>1354</v>
      </c>
      <c r="D1590" s="1" t="str">
        <f>IFERROR(__xludf.DUMMYFUNCTION("GOOGLETRANSLATE(C1590, ""zh-CN"", ""en"")"),"Linyi City")</f>
        <v>Linyi City</v>
      </c>
      <c r="E1590" s="1" t="s">
        <v>1460</v>
      </c>
      <c r="F1590" s="1" t="str">
        <f>IFERROR(__xludf.DUMMYFUNCTION("GOOGLETRANSLATE(E1590, ""zh-CN"", ""en"")"),"Luozhuang District")</f>
        <v>Luozhuang District</v>
      </c>
      <c r="G1590" s="1">
        <v>3.71311E11</v>
      </c>
    </row>
    <row r="1591">
      <c r="A1591" s="1" t="s">
        <v>1342</v>
      </c>
      <c r="B1591" s="1" t="str">
        <f>IFERROR(__xludf.DUMMYFUNCTION("GOOGLETRANSLATE(A1517, ""zh-CN"", ""en"")"),"Shandong Province")</f>
        <v>Shandong Province</v>
      </c>
      <c r="C1591" s="1" t="s">
        <v>1354</v>
      </c>
      <c r="D1591" s="1" t="str">
        <f>IFERROR(__xludf.DUMMYFUNCTION("GOOGLETRANSLATE(C1591, ""zh-CN"", ""en"")"),"Linyi City")</f>
        <v>Linyi City</v>
      </c>
      <c r="E1591" s="1" t="s">
        <v>1461</v>
      </c>
      <c r="F1591" s="1" t="str">
        <f>IFERROR(__xludf.DUMMYFUNCTION("GOOGLETRANSLATE(E1591, ""zh-CN"", ""en"")"),"Hedong District")</f>
        <v>Hedong District</v>
      </c>
      <c r="G1591" s="1">
        <v>3.71312E11</v>
      </c>
    </row>
    <row r="1592">
      <c r="A1592" s="1" t="s">
        <v>1342</v>
      </c>
      <c r="B1592" s="1" t="str">
        <f>IFERROR(__xludf.DUMMYFUNCTION("GOOGLETRANSLATE(A1518, ""zh-CN"", ""en"")"),"Shandong Province")</f>
        <v>Shandong Province</v>
      </c>
      <c r="C1592" s="1" t="s">
        <v>1354</v>
      </c>
      <c r="D1592" s="1" t="str">
        <f>IFERROR(__xludf.DUMMYFUNCTION("GOOGLETRANSLATE(C1592, ""zh-CN"", ""en"")"),"Linyi City")</f>
        <v>Linyi City</v>
      </c>
      <c r="E1592" s="1" t="s">
        <v>1462</v>
      </c>
      <c r="F1592" s="1" t="str">
        <f>IFERROR(__xludf.DUMMYFUNCTION("GOOGLETRANSLATE(E1592, ""zh-CN"", ""en"")"),"Yinan County")</f>
        <v>Yinan County</v>
      </c>
      <c r="G1592" s="1">
        <v>3.71321E11</v>
      </c>
    </row>
    <row r="1593">
      <c r="A1593" s="1" t="s">
        <v>1342</v>
      </c>
      <c r="B1593" s="1" t="str">
        <f>IFERROR(__xludf.DUMMYFUNCTION("GOOGLETRANSLATE(A1519, ""zh-CN"", ""en"")"),"Shandong Province")</f>
        <v>Shandong Province</v>
      </c>
      <c r="C1593" s="1" t="s">
        <v>1354</v>
      </c>
      <c r="D1593" s="1" t="str">
        <f>IFERROR(__xludf.DUMMYFUNCTION("GOOGLETRANSLATE(C1593, ""zh-CN"", ""en"")"),"Linyi City")</f>
        <v>Linyi City</v>
      </c>
      <c r="E1593" s="1" t="s">
        <v>1463</v>
      </c>
      <c r="F1593" s="1" t="str">
        <f>IFERROR(__xludf.DUMMYFUNCTION("GOOGLETRANSLATE(E1593, ""zh-CN"", ""en"")"),"Tancheng County")</f>
        <v>Tancheng County</v>
      </c>
      <c r="G1593" s="1">
        <v>3.71322E11</v>
      </c>
    </row>
    <row r="1594">
      <c r="A1594" s="1" t="s">
        <v>1342</v>
      </c>
      <c r="B1594" s="1" t="str">
        <f>IFERROR(__xludf.DUMMYFUNCTION("GOOGLETRANSLATE(A1520, ""zh-CN"", ""en"")"),"Shandong Province")</f>
        <v>Shandong Province</v>
      </c>
      <c r="C1594" s="1" t="s">
        <v>1354</v>
      </c>
      <c r="D1594" s="1" t="str">
        <f>IFERROR(__xludf.DUMMYFUNCTION("GOOGLETRANSLATE(C1594, ""zh-CN"", ""en"")"),"Linyi City")</f>
        <v>Linyi City</v>
      </c>
      <c r="E1594" s="1" t="s">
        <v>1464</v>
      </c>
      <c r="F1594" s="1" t="str">
        <f>IFERROR(__xludf.DUMMYFUNCTION("GOOGLETRANSLATE(E1594, ""zh-CN"", ""en"")"),"Yishui County")</f>
        <v>Yishui County</v>
      </c>
      <c r="G1594" s="1">
        <v>3.71323E11</v>
      </c>
    </row>
    <row r="1595">
      <c r="A1595" s="1" t="s">
        <v>1342</v>
      </c>
      <c r="B1595" s="1" t="str">
        <f>IFERROR(__xludf.DUMMYFUNCTION("GOOGLETRANSLATE(A1521, ""zh-CN"", ""en"")"),"Shandong Province")</f>
        <v>Shandong Province</v>
      </c>
      <c r="C1595" s="1" t="s">
        <v>1354</v>
      </c>
      <c r="D1595" s="1" t="str">
        <f>IFERROR(__xludf.DUMMYFUNCTION("GOOGLETRANSLATE(C1595, ""zh-CN"", ""en"")"),"Linyi City")</f>
        <v>Linyi City</v>
      </c>
      <c r="E1595" s="1" t="s">
        <v>1465</v>
      </c>
      <c r="F1595" s="1" t="str">
        <f>IFERROR(__xludf.DUMMYFUNCTION("GOOGLETRANSLATE(E1595, ""zh-CN"", ""en"")"),"Lanling County")</f>
        <v>Lanling County</v>
      </c>
      <c r="G1595" s="1">
        <v>3.71324E11</v>
      </c>
    </row>
    <row r="1596">
      <c r="A1596" s="1" t="s">
        <v>1342</v>
      </c>
      <c r="B1596" s="1" t="str">
        <f>IFERROR(__xludf.DUMMYFUNCTION("GOOGLETRANSLATE(A1522, ""zh-CN"", ""en"")"),"Shandong Province")</f>
        <v>Shandong Province</v>
      </c>
      <c r="C1596" s="1" t="s">
        <v>1354</v>
      </c>
      <c r="D1596" s="1" t="str">
        <f>IFERROR(__xludf.DUMMYFUNCTION("GOOGLETRANSLATE(C1596, ""zh-CN"", ""en"")"),"Linyi City")</f>
        <v>Linyi City</v>
      </c>
      <c r="E1596" s="1" t="s">
        <v>1466</v>
      </c>
      <c r="F1596" s="1" t="str">
        <f>IFERROR(__xludf.DUMMYFUNCTION("GOOGLETRANSLATE(E1596, ""zh-CN"", ""en"")"),"Feixian")</f>
        <v>Feixian</v>
      </c>
      <c r="G1596" s="1">
        <v>3.71325E11</v>
      </c>
    </row>
    <row r="1597">
      <c r="A1597" s="1" t="s">
        <v>1342</v>
      </c>
      <c r="B1597" s="1" t="str">
        <f>IFERROR(__xludf.DUMMYFUNCTION("GOOGLETRANSLATE(A1523, ""zh-CN"", ""en"")"),"Shandong Province")</f>
        <v>Shandong Province</v>
      </c>
      <c r="C1597" s="1" t="s">
        <v>1354</v>
      </c>
      <c r="D1597" s="1" t="str">
        <f>IFERROR(__xludf.DUMMYFUNCTION("GOOGLETRANSLATE(C1597, ""zh-CN"", ""en"")"),"Linyi City")</f>
        <v>Linyi City</v>
      </c>
      <c r="E1597" s="1" t="s">
        <v>1467</v>
      </c>
      <c r="F1597" s="1" t="str">
        <f>IFERROR(__xludf.DUMMYFUNCTION("GOOGLETRANSLATE(E1597, ""zh-CN"", ""en"")"),"Pingyi County")</f>
        <v>Pingyi County</v>
      </c>
      <c r="G1597" s="1">
        <v>3.71326E11</v>
      </c>
    </row>
    <row r="1598">
      <c r="A1598" s="1" t="s">
        <v>1342</v>
      </c>
      <c r="B1598" s="1" t="str">
        <f>IFERROR(__xludf.DUMMYFUNCTION("GOOGLETRANSLATE(A1524, ""zh-CN"", ""en"")"),"Shandong Province")</f>
        <v>Shandong Province</v>
      </c>
      <c r="C1598" s="1" t="s">
        <v>1354</v>
      </c>
      <c r="D1598" s="1" t="str">
        <f>IFERROR(__xludf.DUMMYFUNCTION("GOOGLETRANSLATE(C1598, ""zh-CN"", ""en"")"),"Linyi City")</f>
        <v>Linyi City</v>
      </c>
      <c r="E1598" s="1" t="s">
        <v>1468</v>
      </c>
      <c r="F1598" s="1" t="str">
        <f>IFERROR(__xludf.DUMMYFUNCTION("GOOGLETRANSLATE(E1598, ""zh-CN"", ""en"")"),"Junan County")</f>
        <v>Junan County</v>
      </c>
      <c r="G1598" s="1">
        <v>3.71327E11</v>
      </c>
    </row>
    <row r="1599">
      <c r="A1599" s="1" t="s">
        <v>1342</v>
      </c>
      <c r="B1599" s="1" t="str">
        <f>IFERROR(__xludf.DUMMYFUNCTION("GOOGLETRANSLATE(A1525, ""zh-CN"", ""en"")"),"Shandong Province")</f>
        <v>Shandong Province</v>
      </c>
      <c r="C1599" s="1" t="s">
        <v>1354</v>
      </c>
      <c r="D1599" s="1" t="str">
        <f>IFERROR(__xludf.DUMMYFUNCTION("GOOGLETRANSLATE(C1599, ""zh-CN"", ""en"")"),"Linyi City")</f>
        <v>Linyi City</v>
      </c>
      <c r="E1599" s="1" t="s">
        <v>1469</v>
      </c>
      <c r="F1599" s="1" t="str">
        <f>IFERROR(__xludf.DUMMYFUNCTION("GOOGLETRANSLATE(E1599, ""zh-CN"", ""en"")"),"Mengyin County")</f>
        <v>Mengyin County</v>
      </c>
      <c r="G1599" s="1">
        <v>3.71328E11</v>
      </c>
    </row>
    <row r="1600">
      <c r="A1600" s="1" t="s">
        <v>1342</v>
      </c>
      <c r="B1600" s="1" t="str">
        <f>IFERROR(__xludf.DUMMYFUNCTION("GOOGLETRANSLATE(A1526, ""zh-CN"", ""en"")"),"Shandong Province")</f>
        <v>Shandong Province</v>
      </c>
      <c r="C1600" s="1" t="s">
        <v>1354</v>
      </c>
      <c r="D1600" s="1" t="str">
        <f>IFERROR(__xludf.DUMMYFUNCTION("GOOGLETRANSLATE(C1600, ""zh-CN"", ""en"")"),"Linyi City")</f>
        <v>Linyi City</v>
      </c>
      <c r="E1600" s="1" t="s">
        <v>1470</v>
      </c>
      <c r="F1600" s="1" t="str">
        <f>IFERROR(__xludf.DUMMYFUNCTION("GOOGLETRANSLATE(E1600, ""zh-CN"", ""en"")"),"Linyi County")</f>
        <v>Linyi County</v>
      </c>
      <c r="G1600" s="1">
        <v>3.71329E11</v>
      </c>
    </row>
    <row r="1601">
      <c r="A1601" s="1" t="s">
        <v>1342</v>
      </c>
      <c r="B1601" s="1" t="str">
        <f>IFERROR(__xludf.DUMMYFUNCTION("GOOGLETRANSLATE(A1527, ""zh-CN"", ""en"")"),"Shandong Province")</f>
        <v>Shandong Province</v>
      </c>
      <c r="C1601" s="1" t="s">
        <v>1354</v>
      </c>
      <c r="D1601" s="1" t="str">
        <f>IFERROR(__xludf.DUMMYFUNCTION("GOOGLETRANSLATE(C1601, ""zh-CN"", ""en"")"),"Linyi City")</f>
        <v>Linyi City</v>
      </c>
      <c r="E1601" s="1" t="s">
        <v>1471</v>
      </c>
      <c r="F1601" s="1" t="str">
        <f>IFERROR(__xludf.DUMMYFUNCTION("GOOGLETRANSLATE(E1601, ""zh-CN"", ""en"")"),"Linyi High -tech Industrial Development Zone")</f>
        <v>Linyi High -tech Industrial Development Zone</v>
      </c>
      <c r="G1601" s="1">
        <v>3.71371E11</v>
      </c>
    </row>
    <row r="1602">
      <c r="A1602" s="1" t="s">
        <v>1342</v>
      </c>
      <c r="B1602" s="1" t="str">
        <f>IFERROR(__xludf.DUMMYFUNCTION("GOOGLETRANSLATE(A1528, ""zh-CN"", ""en"")"),"Shandong Province")</f>
        <v>Shandong Province</v>
      </c>
      <c r="C1602" s="1" t="s">
        <v>1355</v>
      </c>
      <c r="D1602" s="1" t="str">
        <f>IFERROR(__xludf.DUMMYFUNCTION("GOOGLETRANSLATE(C1602, ""zh-CN"", ""en"")"),"Texas")</f>
        <v>Texas</v>
      </c>
      <c r="E1602" s="1" t="s">
        <v>24</v>
      </c>
      <c r="F1602" s="1" t="str">
        <f>IFERROR(__xludf.DUMMYFUNCTION("GOOGLETRANSLATE(E1602, ""zh-CN"", ""en"")"),"City area")</f>
        <v>City area</v>
      </c>
      <c r="G1602" s="1">
        <v>3.71401E11</v>
      </c>
    </row>
    <row r="1603">
      <c r="A1603" s="1" t="s">
        <v>1342</v>
      </c>
      <c r="B1603" s="1" t="str">
        <f>IFERROR(__xludf.DUMMYFUNCTION("GOOGLETRANSLATE(A1529, ""zh-CN"", ""en"")"),"Shandong Province")</f>
        <v>Shandong Province</v>
      </c>
      <c r="C1603" s="1" t="s">
        <v>1355</v>
      </c>
      <c r="D1603" s="1" t="str">
        <f>IFERROR(__xludf.DUMMYFUNCTION("GOOGLETRANSLATE(C1603, ""zh-CN"", ""en"")"),"Texas")</f>
        <v>Texas</v>
      </c>
      <c r="E1603" s="1" t="s">
        <v>1472</v>
      </c>
      <c r="F1603" s="1" t="str">
        <f>IFERROR(__xludf.DUMMYFUNCTION("GOOGLETRANSLATE(E1603, ""zh-CN"", ""en"")"),"Virtue")</f>
        <v>Virtue</v>
      </c>
      <c r="G1603" s="1">
        <v>3.71402E11</v>
      </c>
    </row>
    <row r="1604">
      <c r="A1604" s="1" t="s">
        <v>1342</v>
      </c>
      <c r="B1604" s="1" t="str">
        <f>IFERROR(__xludf.DUMMYFUNCTION("GOOGLETRANSLATE(A1530, ""zh-CN"", ""en"")"),"Shandong Province")</f>
        <v>Shandong Province</v>
      </c>
      <c r="C1604" s="1" t="s">
        <v>1355</v>
      </c>
      <c r="D1604" s="1" t="str">
        <f>IFERROR(__xludf.DUMMYFUNCTION("GOOGLETRANSLATE(C1604, ""zh-CN"", ""en"")"),"Texas")</f>
        <v>Texas</v>
      </c>
      <c r="E1604" s="1" t="s">
        <v>1473</v>
      </c>
      <c r="F1604" s="1" t="str">
        <f>IFERROR(__xludf.DUMMYFUNCTION("GOOGLETRANSLATE(E1604, ""zh-CN"", ""en"")"),"Lingcheng District")</f>
        <v>Lingcheng District</v>
      </c>
      <c r="G1604" s="1">
        <v>3.71403E11</v>
      </c>
    </row>
    <row r="1605">
      <c r="A1605" s="1" t="s">
        <v>1342</v>
      </c>
      <c r="B1605" s="1" t="str">
        <f>IFERROR(__xludf.DUMMYFUNCTION("GOOGLETRANSLATE(A1531, ""zh-CN"", ""en"")"),"Shandong Province")</f>
        <v>Shandong Province</v>
      </c>
      <c r="C1605" s="1" t="s">
        <v>1355</v>
      </c>
      <c r="D1605" s="1" t="str">
        <f>IFERROR(__xludf.DUMMYFUNCTION("GOOGLETRANSLATE(C1605, ""zh-CN"", ""en"")"),"Texas")</f>
        <v>Texas</v>
      </c>
      <c r="E1605" s="1" t="s">
        <v>1474</v>
      </c>
      <c r="F1605" s="1" t="str">
        <f>IFERROR(__xludf.DUMMYFUNCTION("GOOGLETRANSLATE(E1605, ""zh-CN"", ""en"")"),"Ningjin County")</f>
        <v>Ningjin County</v>
      </c>
      <c r="G1605" s="1">
        <v>3.71422E11</v>
      </c>
    </row>
    <row r="1606">
      <c r="A1606" s="1" t="s">
        <v>1342</v>
      </c>
      <c r="B1606" s="1" t="str">
        <f>IFERROR(__xludf.DUMMYFUNCTION("GOOGLETRANSLATE(A1532, ""zh-CN"", ""en"")"),"Shandong Province")</f>
        <v>Shandong Province</v>
      </c>
      <c r="C1606" s="1" t="s">
        <v>1355</v>
      </c>
      <c r="D1606" s="1" t="str">
        <f>IFERROR(__xludf.DUMMYFUNCTION("GOOGLETRANSLATE(C1606, ""zh-CN"", ""en"")"),"Texas")</f>
        <v>Texas</v>
      </c>
      <c r="E1606" s="1" t="s">
        <v>1475</v>
      </c>
      <c r="F1606" s="1" t="str">
        <f>IFERROR(__xludf.DUMMYFUNCTION("GOOGLETRANSLATE(E1606, ""zh-CN"", ""en"")"),"Qingyun County")</f>
        <v>Qingyun County</v>
      </c>
      <c r="G1606" s="1">
        <v>3.71423E11</v>
      </c>
    </row>
    <row r="1607">
      <c r="A1607" s="1" t="s">
        <v>1342</v>
      </c>
      <c r="B1607" s="1" t="str">
        <f>IFERROR(__xludf.DUMMYFUNCTION("GOOGLETRANSLATE(A1533, ""zh-CN"", ""en"")"),"Shandong Province")</f>
        <v>Shandong Province</v>
      </c>
      <c r="C1607" s="1" t="s">
        <v>1355</v>
      </c>
      <c r="D1607" s="1" t="str">
        <f>IFERROR(__xludf.DUMMYFUNCTION("GOOGLETRANSLATE(C1607, ""zh-CN"", ""en"")"),"Texas")</f>
        <v>Texas</v>
      </c>
      <c r="E1607" s="1" t="s">
        <v>1476</v>
      </c>
      <c r="F1607" s="1" t="str">
        <f>IFERROR(__xludf.DUMMYFUNCTION("GOOGLETRANSLATE(E1607, ""zh-CN"", ""en"")"),"Linyi County")</f>
        <v>Linyi County</v>
      </c>
      <c r="G1607" s="1">
        <v>3.71424E11</v>
      </c>
    </row>
    <row r="1608">
      <c r="A1608" s="1" t="s">
        <v>1342</v>
      </c>
      <c r="B1608" s="1" t="str">
        <f>IFERROR(__xludf.DUMMYFUNCTION("GOOGLETRANSLATE(A1534, ""zh-CN"", ""en"")"),"Shandong Province")</f>
        <v>Shandong Province</v>
      </c>
      <c r="C1608" s="1" t="s">
        <v>1355</v>
      </c>
      <c r="D1608" s="1" t="str">
        <f>IFERROR(__xludf.DUMMYFUNCTION("GOOGLETRANSLATE(C1608, ""zh-CN"", ""en"")"),"Texas")</f>
        <v>Texas</v>
      </c>
      <c r="E1608" s="1" t="s">
        <v>1477</v>
      </c>
      <c r="F1608" s="1" t="str">
        <f>IFERROR(__xludf.DUMMYFUNCTION("GOOGLETRANSLATE(E1608, ""zh-CN"", ""en"")"),"Qihe County")</f>
        <v>Qihe County</v>
      </c>
      <c r="G1608" s="1">
        <v>3.71425E11</v>
      </c>
    </row>
    <row r="1609">
      <c r="A1609" s="1" t="s">
        <v>1342</v>
      </c>
      <c r="B1609" s="1" t="str">
        <f>IFERROR(__xludf.DUMMYFUNCTION("GOOGLETRANSLATE(A1535, ""zh-CN"", ""en"")"),"Shandong Province")</f>
        <v>Shandong Province</v>
      </c>
      <c r="C1609" s="1" t="s">
        <v>1355</v>
      </c>
      <c r="D1609" s="1" t="str">
        <f>IFERROR(__xludf.DUMMYFUNCTION("GOOGLETRANSLATE(C1609, ""zh-CN"", ""en"")"),"Texas")</f>
        <v>Texas</v>
      </c>
      <c r="E1609" s="1" t="s">
        <v>1478</v>
      </c>
      <c r="F1609" s="1" t="str">
        <f>IFERROR(__xludf.DUMMYFUNCTION("GOOGLETRANSLATE(E1609, ""zh-CN"", ""en"")"),"Plain county")</f>
        <v>Plain county</v>
      </c>
      <c r="G1609" s="1">
        <v>3.71426E11</v>
      </c>
    </row>
    <row r="1610">
      <c r="A1610" s="1" t="s">
        <v>1342</v>
      </c>
      <c r="B1610" s="1" t="str">
        <f>IFERROR(__xludf.DUMMYFUNCTION("GOOGLETRANSLATE(A1536, ""zh-CN"", ""en"")"),"Shandong Province")</f>
        <v>Shandong Province</v>
      </c>
      <c r="C1610" s="1" t="s">
        <v>1355</v>
      </c>
      <c r="D1610" s="1" t="str">
        <f>IFERROR(__xludf.DUMMYFUNCTION("GOOGLETRANSLATE(C1610, ""zh-CN"", ""en"")"),"Texas")</f>
        <v>Texas</v>
      </c>
      <c r="E1610" s="1" t="s">
        <v>1479</v>
      </c>
      <c r="F1610" s="1" t="str">
        <f>IFERROR(__xludf.DUMMYFUNCTION("GOOGLETRANSLATE(E1610, ""zh-CN"", ""en"")"),"Xiajin County")</f>
        <v>Xiajin County</v>
      </c>
      <c r="G1610" s="1">
        <v>3.71427E11</v>
      </c>
    </row>
    <row r="1611">
      <c r="A1611" s="1" t="s">
        <v>1342</v>
      </c>
      <c r="B1611" s="1" t="str">
        <f>IFERROR(__xludf.DUMMYFUNCTION("GOOGLETRANSLATE(A1537, ""zh-CN"", ""en"")"),"Shandong Province")</f>
        <v>Shandong Province</v>
      </c>
      <c r="C1611" s="1" t="s">
        <v>1355</v>
      </c>
      <c r="D1611" s="1" t="str">
        <f>IFERROR(__xludf.DUMMYFUNCTION("GOOGLETRANSLATE(C1611, ""zh-CN"", ""en"")"),"Texas")</f>
        <v>Texas</v>
      </c>
      <c r="E1611" s="1" t="s">
        <v>1480</v>
      </c>
      <c r="F1611" s="1" t="str">
        <f>IFERROR(__xludf.DUMMYFUNCTION("GOOGLETRANSLATE(E1611, ""zh-CN"", ""en"")"),"Martial arts")</f>
        <v>Martial arts</v>
      </c>
      <c r="G1611" s="1">
        <v>3.71428E11</v>
      </c>
    </row>
    <row r="1612">
      <c r="A1612" s="1" t="s">
        <v>1342</v>
      </c>
      <c r="B1612" s="1" t="str">
        <f>IFERROR(__xludf.DUMMYFUNCTION("GOOGLETRANSLATE(A1538, ""zh-CN"", ""en"")"),"Shandong Province")</f>
        <v>Shandong Province</v>
      </c>
      <c r="C1612" s="1" t="s">
        <v>1355</v>
      </c>
      <c r="D1612" s="1" t="str">
        <f>IFERROR(__xludf.DUMMYFUNCTION("GOOGLETRANSLATE(C1612, ""zh-CN"", ""en"")"),"Texas")</f>
        <v>Texas</v>
      </c>
      <c r="E1612" s="1" t="s">
        <v>1481</v>
      </c>
      <c r="F1612" s="1" t="str">
        <f>IFERROR(__xludf.DUMMYFUNCTION("GOOGLETRANSLATE(E1612, ""zh-CN"", ""en"")"),"Texas Tianyin New District")</f>
        <v>Texas Tianyin New District</v>
      </c>
      <c r="G1612" s="1">
        <v>3.71471E11</v>
      </c>
    </row>
    <row r="1613">
      <c r="A1613" s="1" t="s">
        <v>1342</v>
      </c>
      <c r="B1613" s="1" t="str">
        <f>IFERROR(__xludf.DUMMYFUNCTION("GOOGLETRANSLATE(A1539, ""zh-CN"", ""en"")"),"Shandong Province")</f>
        <v>Shandong Province</v>
      </c>
      <c r="C1613" s="1" t="s">
        <v>1355</v>
      </c>
      <c r="D1613" s="1" t="str">
        <f>IFERROR(__xludf.DUMMYFUNCTION("GOOGLETRANSLATE(C1613, ""zh-CN"", ""en"")"),"Texas")</f>
        <v>Texas</v>
      </c>
      <c r="E1613" s="1" t="s">
        <v>1482</v>
      </c>
      <c r="F1613" s="1" t="str">
        <f>IFERROR(__xludf.DUMMYFUNCTION("GOOGLETRANSLATE(E1613, ""zh-CN"", ""en"")"),"La Ling City")</f>
        <v>La Ling City</v>
      </c>
      <c r="G1613" s="1">
        <v>3.71481E11</v>
      </c>
    </row>
    <row r="1614">
      <c r="A1614" s="1" t="s">
        <v>1342</v>
      </c>
      <c r="B1614" s="1" t="str">
        <f>IFERROR(__xludf.DUMMYFUNCTION("GOOGLETRANSLATE(A1540, ""zh-CN"", ""en"")"),"Shandong Province")</f>
        <v>Shandong Province</v>
      </c>
      <c r="C1614" s="1" t="s">
        <v>1355</v>
      </c>
      <c r="D1614" s="1" t="str">
        <f>IFERROR(__xludf.DUMMYFUNCTION("GOOGLETRANSLATE(C1614, ""zh-CN"", ""en"")"),"Texas")</f>
        <v>Texas</v>
      </c>
      <c r="E1614" s="1" t="s">
        <v>1483</v>
      </c>
      <c r="F1614" s="1" t="str">
        <f>IFERROR(__xludf.DUMMYFUNCTION("GOOGLETRANSLATE(E1614, ""zh-CN"", ""en"")"),"Yu City")</f>
        <v>Yu City</v>
      </c>
      <c r="G1614" s="1">
        <v>3.71482E11</v>
      </c>
    </row>
    <row r="1615">
      <c r="A1615" s="1" t="s">
        <v>1342</v>
      </c>
      <c r="B1615" s="1" t="str">
        <f>IFERROR(__xludf.DUMMYFUNCTION("GOOGLETRANSLATE(A1541, ""zh-CN"", ""en"")"),"Shandong Province")</f>
        <v>Shandong Province</v>
      </c>
      <c r="C1615" s="1" t="s">
        <v>1356</v>
      </c>
      <c r="D1615" s="1" t="str">
        <f>IFERROR(__xludf.DUMMYFUNCTION("GOOGLETRANSLATE(C1615, ""zh-CN"", ""en"")"),"Chat cities")</f>
        <v>Chat cities</v>
      </c>
      <c r="E1615" s="1" t="s">
        <v>24</v>
      </c>
      <c r="F1615" s="1" t="str">
        <f>IFERROR(__xludf.DUMMYFUNCTION("GOOGLETRANSLATE(E1615, ""zh-CN"", ""en"")"),"City area")</f>
        <v>City area</v>
      </c>
      <c r="G1615" s="1">
        <v>3.71501E11</v>
      </c>
    </row>
    <row r="1616">
      <c r="A1616" s="1" t="s">
        <v>1342</v>
      </c>
      <c r="B1616" s="1" t="str">
        <f>IFERROR(__xludf.DUMMYFUNCTION("GOOGLETRANSLATE(A1542, ""zh-CN"", ""en"")"),"Shandong Province")</f>
        <v>Shandong Province</v>
      </c>
      <c r="C1616" s="1" t="s">
        <v>1356</v>
      </c>
      <c r="D1616" s="1" t="str">
        <f>IFERROR(__xludf.DUMMYFUNCTION("GOOGLETRANSLATE(C1616, ""zh-CN"", ""en"")"),"Chat cities")</f>
        <v>Chat cities</v>
      </c>
      <c r="E1616" s="1" t="s">
        <v>1484</v>
      </c>
      <c r="F1616" s="1" t="str">
        <f>IFERROR(__xludf.DUMMYFUNCTION("GOOGLETRANSLATE(E1616, ""zh-CN"", ""en"")"),"Dongchangfu District")</f>
        <v>Dongchangfu District</v>
      </c>
      <c r="G1616" s="1">
        <v>3.71502E11</v>
      </c>
    </row>
    <row r="1617">
      <c r="A1617" s="1" t="s">
        <v>1342</v>
      </c>
      <c r="B1617" s="1" t="str">
        <f>IFERROR(__xludf.DUMMYFUNCTION("GOOGLETRANSLATE(A1543, ""zh-CN"", ""en"")"),"Shandong Province")</f>
        <v>Shandong Province</v>
      </c>
      <c r="C1617" s="1" t="s">
        <v>1356</v>
      </c>
      <c r="D1617" s="1" t="str">
        <f>IFERROR(__xludf.DUMMYFUNCTION("GOOGLETRANSLATE(C1617, ""zh-CN"", ""en"")"),"Chat cities")</f>
        <v>Chat cities</v>
      </c>
      <c r="E1617" s="1" t="s">
        <v>1485</v>
      </c>
      <c r="F1617" s="1" t="str">
        <f>IFERROR(__xludf.DUMMYFUNCTION("GOOGLETRANSLATE(E1617, ""zh-CN"", ""en"")"),"茌 茌 茌")</f>
        <v>茌 茌 茌</v>
      </c>
      <c r="G1617" s="1">
        <v>3.71503E11</v>
      </c>
    </row>
    <row r="1618">
      <c r="A1618" s="1" t="s">
        <v>1342</v>
      </c>
      <c r="B1618" s="1" t="str">
        <f>IFERROR(__xludf.DUMMYFUNCTION("GOOGLETRANSLATE(A1544, ""zh-CN"", ""en"")"),"Shandong Province")</f>
        <v>Shandong Province</v>
      </c>
      <c r="C1618" s="1" t="s">
        <v>1356</v>
      </c>
      <c r="D1618" s="1" t="str">
        <f>IFERROR(__xludf.DUMMYFUNCTION("GOOGLETRANSLATE(C1618, ""zh-CN"", ""en"")"),"Chat cities")</f>
        <v>Chat cities</v>
      </c>
      <c r="E1618" s="1" t="s">
        <v>1486</v>
      </c>
      <c r="F1618" s="1" t="str">
        <f>IFERROR(__xludf.DUMMYFUNCTION("GOOGLETRANSLATE(E1618, ""zh-CN"", ""en"")"),"Yanggu County")</f>
        <v>Yanggu County</v>
      </c>
      <c r="G1618" s="1">
        <v>3.71521E11</v>
      </c>
    </row>
    <row r="1619">
      <c r="A1619" s="1" t="s">
        <v>1342</v>
      </c>
      <c r="B1619" s="1" t="str">
        <f>IFERROR(__xludf.DUMMYFUNCTION("GOOGLETRANSLATE(A1545, ""zh-CN"", ""en"")"),"Shandong Province")</f>
        <v>Shandong Province</v>
      </c>
      <c r="C1619" s="1" t="s">
        <v>1356</v>
      </c>
      <c r="D1619" s="1" t="str">
        <f>IFERROR(__xludf.DUMMYFUNCTION("GOOGLETRANSLATE(C1619, ""zh-CN"", ""en"")"),"Chat cities")</f>
        <v>Chat cities</v>
      </c>
      <c r="E1619" s="1" t="s">
        <v>1487</v>
      </c>
      <c r="F1619" s="1" t="str">
        <f>IFERROR(__xludf.DUMMYFUNCTION("GOOGLETRANSLATE(E1619, ""zh-CN"", ""en"")"),"Xinxian")</f>
        <v>Xinxian</v>
      </c>
      <c r="G1619" s="1">
        <v>3.71522E11</v>
      </c>
    </row>
    <row r="1620">
      <c r="A1620" s="1" t="s">
        <v>1342</v>
      </c>
      <c r="B1620" s="1" t="str">
        <f>IFERROR(__xludf.DUMMYFUNCTION("GOOGLETRANSLATE(A1546, ""zh-CN"", ""en"")"),"Shandong Province")</f>
        <v>Shandong Province</v>
      </c>
      <c r="C1620" s="1" t="s">
        <v>1356</v>
      </c>
      <c r="D1620" s="1" t="str">
        <f>IFERROR(__xludf.DUMMYFUNCTION("GOOGLETRANSLATE(C1620, ""zh-CN"", ""en"")"),"Chat cities")</f>
        <v>Chat cities</v>
      </c>
      <c r="E1620" s="1" t="s">
        <v>1488</v>
      </c>
      <c r="F1620" s="1" t="str">
        <f>IFERROR(__xludf.DUMMYFUNCTION("GOOGLETRANSLATE(E1620, ""zh-CN"", ""en"")"),"Donga County")</f>
        <v>Donga County</v>
      </c>
      <c r="G1620" s="1">
        <v>3.71524E11</v>
      </c>
    </row>
    <row r="1621">
      <c r="A1621" s="1" t="s">
        <v>1342</v>
      </c>
      <c r="B1621" s="1" t="str">
        <f>IFERROR(__xludf.DUMMYFUNCTION("GOOGLETRANSLATE(A1547, ""zh-CN"", ""en"")"),"Shandong Province")</f>
        <v>Shandong Province</v>
      </c>
      <c r="C1621" s="1" t="s">
        <v>1356</v>
      </c>
      <c r="D1621" s="1" t="str">
        <f>IFERROR(__xludf.DUMMYFUNCTION("GOOGLETRANSLATE(C1621, ""zh-CN"", ""en"")"),"Chat cities")</f>
        <v>Chat cities</v>
      </c>
      <c r="E1621" s="1" t="s">
        <v>1489</v>
      </c>
      <c r="F1621" s="1" t="str">
        <f>IFERROR(__xludf.DUMMYFUNCTION("GOOGLETRANSLATE(E1621, ""zh-CN"", ""en"")"),"Guanxian")</f>
        <v>Guanxian</v>
      </c>
      <c r="G1621" s="1">
        <v>3.71525E11</v>
      </c>
    </row>
    <row r="1622">
      <c r="A1622" s="1" t="s">
        <v>1342</v>
      </c>
      <c r="B1622" s="1" t="str">
        <f>IFERROR(__xludf.DUMMYFUNCTION("GOOGLETRANSLATE(A1548, ""zh-CN"", ""en"")"),"Shandong Province")</f>
        <v>Shandong Province</v>
      </c>
      <c r="C1622" s="1" t="s">
        <v>1356</v>
      </c>
      <c r="D1622" s="1" t="str">
        <f>IFERROR(__xludf.DUMMYFUNCTION("GOOGLETRANSLATE(C1622, ""zh-CN"", ""en"")"),"Chat cities")</f>
        <v>Chat cities</v>
      </c>
      <c r="E1622" s="1" t="s">
        <v>1490</v>
      </c>
      <c r="F1622" s="1" t="str">
        <f>IFERROR(__xludf.DUMMYFUNCTION("GOOGLETRANSLATE(E1622, ""zh-CN"", ""en"")"),"Gaotang County")</f>
        <v>Gaotang County</v>
      </c>
      <c r="G1622" s="1">
        <v>3.71526E11</v>
      </c>
    </row>
    <row r="1623">
      <c r="A1623" s="1" t="s">
        <v>1342</v>
      </c>
      <c r="B1623" s="1" t="str">
        <f>IFERROR(__xludf.DUMMYFUNCTION("GOOGLETRANSLATE(A1549, ""zh-CN"", ""en"")"),"Shandong Province")</f>
        <v>Shandong Province</v>
      </c>
      <c r="C1623" s="1" t="s">
        <v>1356</v>
      </c>
      <c r="D1623" s="1" t="str">
        <f>IFERROR(__xludf.DUMMYFUNCTION("GOOGLETRANSLATE(C1623, ""zh-CN"", ""en"")"),"Chat cities")</f>
        <v>Chat cities</v>
      </c>
      <c r="E1623" s="1" t="s">
        <v>1491</v>
      </c>
      <c r="F1623" s="1" t="str">
        <f>IFERROR(__xludf.DUMMYFUNCTION("GOOGLETRANSLATE(E1623, ""zh-CN"", ""en"")"),"Linqing City")</f>
        <v>Linqing City</v>
      </c>
      <c r="G1623" s="1">
        <v>3.71581E11</v>
      </c>
    </row>
    <row r="1624">
      <c r="A1624" s="1" t="s">
        <v>1342</v>
      </c>
      <c r="B1624" s="1" t="str">
        <f>IFERROR(__xludf.DUMMYFUNCTION("GOOGLETRANSLATE(A1550, ""zh-CN"", ""en"")"),"Shandong Province")</f>
        <v>Shandong Province</v>
      </c>
      <c r="C1624" s="1" t="s">
        <v>1357</v>
      </c>
      <c r="D1624" s="1" t="str">
        <f>IFERROR(__xludf.DUMMYFUNCTION("GOOGLETRANSLATE(C1624, ""zh-CN"", ""en"")"),"Binzhou City")</f>
        <v>Binzhou City</v>
      </c>
      <c r="E1624" s="1" t="s">
        <v>24</v>
      </c>
      <c r="F1624" s="1" t="str">
        <f>IFERROR(__xludf.DUMMYFUNCTION("GOOGLETRANSLATE(E1624, ""zh-CN"", ""en"")"),"City area")</f>
        <v>City area</v>
      </c>
      <c r="G1624" s="1">
        <v>3.71601E11</v>
      </c>
    </row>
    <row r="1625">
      <c r="A1625" s="1" t="s">
        <v>1342</v>
      </c>
      <c r="B1625" s="1" t="str">
        <f>IFERROR(__xludf.DUMMYFUNCTION("GOOGLETRANSLATE(A1551, ""zh-CN"", ""en"")"),"Shandong Province")</f>
        <v>Shandong Province</v>
      </c>
      <c r="C1625" s="1" t="s">
        <v>1357</v>
      </c>
      <c r="D1625" s="1" t="str">
        <f>IFERROR(__xludf.DUMMYFUNCTION("GOOGLETRANSLATE(C1625, ""zh-CN"", ""en"")"),"Binzhou City")</f>
        <v>Binzhou City</v>
      </c>
      <c r="E1625" s="1" t="s">
        <v>1492</v>
      </c>
      <c r="F1625" s="1" t="str">
        <f>IFERROR(__xludf.DUMMYFUNCTION("GOOGLETRANSLATE(E1625, ""zh-CN"", ""en"")"),"Coastal area")</f>
        <v>Coastal area</v>
      </c>
      <c r="G1625" s="1">
        <v>3.71602E11</v>
      </c>
    </row>
    <row r="1626">
      <c r="A1626" s="1" t="s">
        <v>1342</v>
      </c>
      <c r="B1626" s="1" t="str">
        <f>IFERROR(__xludf.DUMMYFUNCTION("GOOGLETRANSLATE(A1552, ""zh-CN"", ""en"")"),"Shandong Province")</f>
        <v>Shandong Province</v>
      </c>
      <c r="C1626" s="1" t="s">
        <v>1357</v>
      </c>
      <c r="D1626" s="1" t="str">
        <f>IFERROR(__xludf.DUMMYFUNCTION("GOOGLETRANSLATE(C1626, ""zh-CN"", ""en"")"),"Binzhou City")</f>
        <v>Binzhou City</v>
      </c>
      <c r="E1626" s="1" t="s">
        <v>1493</v>
      </c>
      <c r="F1626" s="1" t="str">
        <f>IFERROR(__xludf.DUMMYFUNCTION("GOOGLETRANSLATE(E1626, ""zh-CN"", ""en"")"),"Zhanhua area")</f>
        <v>Zhanhua area</v>
      </c>
      <c r="G1626" s="1">
        <v>3.71603E11</v>
      </c>
    </row>
    <row r="1627">
      <c r="A1627" s="1" t="s">
        <v>1342</v>
      </c>
      <c r="B1627" s="1" t="str">
        <f>IFERROR(__xludf.DUMMYFUNCTION("GOOGLETRANSLATE(A1553, ""zh-CN"", ""en"")"),"Shandong Province")</f>
        <v>Shandong Province</v>
      </c>
      <c r="C1627" s="1" t="s">
        <v>1357</v>
      </c>
      <c r="D1627" s="1" t="str">
        <f>IFERROR(__xludf.DUMMYFUNCTION("GOOGLETRANSLATE(C1627, ""zh-CN"", ""en"")"),"Binzhou City")</f>
        <v>Binzhou City</v>
      </c>
      <c r="E1627" s="1" t="s">
        <v>1494</v>
      </c>
      <c r="F1627" s="1" t="str">
        <f>IFERROR(__xludf.DUMMYFUNCTION("GOOGLETRANSLATE(E1627, ""zh-CN"", ""en"")"),"Huimin County")</f>
        <v>Huimin County</v>
      </c>
      <c r="G1627" s="1">
        <v>3.71621E11</v>
      </c>
    </row>
    <row r="1628">
      <c r="A1628" s="1" t="s">
        <v>1342</v>
      </c>
      <c r="B1628" s="1" t="str">
        <f>IFERROR(__xludf.DUMMYFUNCTION("GOOGLETRANSLATE(A1554, ""zh-CN"", ""en"")"),"Shandong Province")</f>
        <v>Shandong Province</v>
      </c>
      <c r="C1628" s="1" t="s">
        <v>1357</v>
      </c>
      <c r="D1628" s="1" t="str">
        <f>IFERROR(__xludf.DUMMYFUNCTION("GOOGLETRANSLATE(C1628, ""zh-CN"", ""en"")"),"Binzhou City")</f>
        <v>Binzhou City</v>
      </c>
      <c r="E1628" s="1" t="s">
        <v>1495</v>
      </c>
      <c r="F1628" s="1" t="str">
        <f>IFERROR(__xludf.DUMMYFUNCTION("GOOGLETRANSLATE(E1628, ""zh-CN"", ""en"")"),"Yangxin County")</f>
        <v>Yangxin County</v>
      </c>
      <c r="G1628" s="1">
        <v>3.71622E11</v>
      </c>
    </row>
    <row r="1629">
      <c r="A1629" s="1" t="s">
        <v>1342</v>
      </c>
      <c r="B1629" s="1" t="str">
        <f>IFERROR(__xludf.DUMMYFUNCTION("GOOGLETRANSLATE(A1555, ""zh-CN"", ""en"")"),"Shandong Province")</f>
        <v>Shandong Province</v>
      </c>
      <c r="C1629" s="1" t="s">
        <v>1357</v>
      </c>
      <c r="D1629" s="1" t="str">
        <f>IFERROR(__xludf.DUMMYFUNCTION("GOOGLETRANSLATE(C1629, ""zh-CN"", ""en"")"),"Binzhou City")</f>
        <v>Binzhou City</v>
      </c>
      <c r="E1629" s="1" t="s">
        <v>1496</v>
      </c>
      <c r="F1629" s="1" t="str">
        <f>IFERROR(__xludf.DUMMYFUNCTION("GOOGLETRANSLATE(E1629, ""zh-CN"", ""en"")"),"Wudi County")</f>
        <v>Wudi County</v>
      </c>
      <c r="G1629" s="1">
        <v>3.71623E11</v>
      </c>
    </row>
    <row r="1630">
      <c r="A1630" s="1" t="s">
        <v>1342</v>
      </c>
      <c r="B1630" s="1" t="str">
        <f>IFERROR(__xludf.DUMMYFUNCTION("GOOGLETRANSLATE(A1556, ""zh-CN"", ""en"")"),"Shandong Province")</f>
        <v>Shandong Province</v>
      </c>
      <c r="C1630" s="1" t="s">
        <v>1357</v>
      </c>
      <c r="D1630" s="1" t="str">
        <f>IFERROR(__xludf.DUMMYFUNCTION("GOOGLETRANSLATE(C1630, ""zh-CN"", ""en"")"),"Binzhou City")</f>
        <v>Binzhou City</v>
      </c>
      <c r="E1630" s="1" t="s">
        <v>1497</v>
      </c>
      <c r="F1630" s="1" t="str">
        <f>IFERROR(__xludf.DUMMYFUNCTION("GOOGLETRANSLATE(E1630, ""zh-CN"", ""en"")"),"Boxing County")</f>
        <v>Boxing County</v>
      </c>
      <c r="G1630" s="1">
        <v>3.71625E11</v>
      </c>
    </row>
    <row r="1631">
      <c r="A1631" s="1" t="s">
        <v>1342</v>
      </c>
      <c r="B1631" s="1" t="str">
        <f>IFERROR(__xludf.DUMMYFUNCTION("GOOGLETRANSLATE(A1557, ""zh-CN"", ""en"")"),"Shandong Province")</f>
        <v>Shandong Province</v>
      </c>
      <c r="C1631" s="1" t="s">
        <v>1357</v>
      </c>
      <c r="D1631" s="1" t="str">
        <f>IFERROR(__xludf.DUMMYFUNCTION("GOOGLETRANSLATE(C1631, ""zh-CN"", ""en"")"),"Binzhou City")</f>
        <v>Binzhou City</v>
      </c>
      <c r="E1631" s="1" t="s">
        <v>1498</v>
      </c>
      <c r="F1631" s="1" t="str">
        <f>IFERROR(__xludf.DUMMYFUNCTION("GOOGLETRANSLATE(E1631, ""zh-CN"", ""en"")"),"Zou Ping City")</f>
        <v>Zou Ping City</v>
      </c>
      <c r="G1631" s="1">
        <v>3.71681E11</v>
      </c>
    </row>
    <row r="1632">
      <c r="A1632" s="1" t="s">
        <v>1342</v>
      </c>
      <c r="B1632" s="1" t="str">
        <f>IFERROR(__xludf.DUMMYFUNCTION("GOOGLETRANSLATE(A1558, ""zh-CN"", ""en"")"),"Shandong Province")</f>
        <v>Shandong Province</v>
      </c>
      <c r="C1632" s="1" t="s">
        <v>1358</v>
      </c>
      <c r="D1632" s="1" t="str">
        <f>IFERROR(__xludf.DUMMYFUNCTION("GOOGLETRANSLATE(C1632, ""zh-CN"", ""en"")"),"Heze City")</f>
        <v>Heze City</v>
      </c>
      <c r="E1632" s="1" t="s">
        <v>24</v>
      </c>
      <c r="F1632" s="1" t="str">
        <f>IFERROR(__xludf.DUMMYFUNCTION("GOOGLETRANSLATE(E1632, ""zh-CN"", ""en"")"),"City area")</f>
        <v>City area</v>
      </c>
      <c r="G1632" s="1">
        <v>3.71701E11</v>
      </c>
    </row>
    <row r="1633">
      <c r="A1633" s="1" t="s">
        <v>1342</v>
      </c>
      <c r="B1633" s="1" t="str">
        <f>IFERROR(__xludf.DUMMYFUNCTION("GOOGLETRANSLATE(A1559, ""zh-CN"", ""en"")"),"Shandong Province")</f>
        <v>Shandong Province</v>
      </c>
      <c r="C1633" s="1" t="s">
        <v>1358</v>
      </c>
      <c r="D1633" s="1" t="str">
        <f>IFERROR(__xludf.DUMMYFUNCTION("GOOGLETRANSLATE(C1633, ""zh-CN"", ""en"")"),"Heze City")</f>
        <v>Heze City</v>
      </c>
      <c r="E1633" s="1" t="s">
        <v>1499</v>
      </c>
      <c r="F1633" s="1" t="str">
        <f>IFERROR(__xludf.DUMMYFUNCTION("GOOGLETRANSLATE(E1633, ""zh-CN"", ""en"")"),"Peony area")</f>
        <v>Peony area</v>
      </c>
      <c r="G1633" s="1">
        <v>3.71702E11</v>
      </c>
    </row>
    <row r="1634">
      <c r="A1634" s="1" t="s">
        <v>1342</v>
      </c>
      <c r="B1634" s="1" t="str">
        <f>IFERROR(__xludf.DUMMYFUNCTION("GOOGLETRANSLATE(A1560, ""zh-CN"", ""en"")"),"Shandong Province")</f>
        <v>Shandong Province</v>
      </c>
      <c r="C1634" s="1" t="s">
        <v>1358</v>
      </c>
      <c r="D1634" s="1" t="str">
        <f>IFERROR(__xludf.DUMMYFUNCTION("GOOGLETRANSLATE(C1634, ""zh-CN"", ""en"")"),"Heze City")</f>
        <v>Heze City</v>
      </c>
      <c r="E1634" s="1" t="s">
        <v>1500</v>
      </c>
      <c r="F1634" s="1" t="str">
        <f>IFERROR(__xludf.DUMMYFUNCTION("GOOGLETRANSLATE(E1634, ""zh-CN"", ""en"")"),"Dingtao District")</f>
        <v>Dingtao District</v>
      </c>
      <c r="G1634" s="1">
        <v>3.71703E11</v>
      </c>
    </row>
    <row r="1635">
      <c r="A1635" s="1" t="s">
        <v>1342</v>
      </c>
      <c r="B1635" s="1" t="str">
        <f>IFERROR(__xludf.DUMMYFUNCTION("GOOGLETRANSLATE(A1561, ""zh-CN"", ""en"")"),"Shandong Province")</f>
        <v>Shandong Province</v>
      </c>
      <c r="C1635" s="1" t="s">
        <v>1358</v>
      </c>
      <c r="D1635" s="1" t="str">
        <f>IFERROR(__xludf.DUMMYFUNCTION("GOOGLETRANSLATE(C1635, ""zh-CN"", ""en"")"),"Heze City")</f>
        <v>Heze City</v>
      </c>
      <c r="E1635" s="1" t="s">
        <v>1501</v>
      </c>
      <c r="F1635" s="1" t="str">
        <f>IFERROR(__xludf.DUMMYFUNCTION("GOOGLETRANSLATE(E1635, ""zh-CN"", ""en"")"),"Cao County")</f>
        <v>Cao County</v>
      </c>
      <c r="G1635" s="1">
        <v>3.71721E11</v>
      </c>
    </row>
    <row r="1636">
      <c r="A1636" s="1" t="s">
        <v>1342</v>
      </c>
      <c r="B1636" s="1" t="str">
        <f>IFERROR(__xludf.DUMMYFUNCTION("GOOGLETRANSLATE(A1562, ""zh-CN"", ""en"")"),"Shandong Province")</f>
        <v>Shandong Province</v>
      </c>
      <c r="C1636" s="1" t="s">
        <v>1358</v>
      </c>
      <c r="D1636" s="1" t="str">
        <f>IFERROR(__xludf.DUMMYFUNCTION("GOOGLETRANSLATE(C1636, ""zh-CN"", ""en"")"),"Heze City")</f>
        <v>Heze City</v>
      </c>
      <c r="E1636" s="1" t="s">
        <v>1502</v>
      </c>
      <c r="F1636" s="1" t="str">
        <f>IFERROR(__xludf.DUMMYFUNCTION("GOOGLETRANSLATE(E1636, ""zh-CN"", ""en"")"),"Single county")</f>
        <v>Single county</v>
      </c>
      <c r="G1636" s="1">
        <v>3.71722E11</v>
      </c>
    </row>
    <row r="1637">
      <c r="A1637" s="1" t="s">
        <v>1342</v>
      </c>
      <c r="B1637" s="1" t="str">
        <f>IFERROR(__xludf.DUMMYFUNCTION("GOOGLETRANSLATE(A1563, ""zh-CN"", ""en"")"),"Shandong Province")</f>
        <v>Shandong Province</v>
      </c>
      <c r="C1637" s="1" t="s">
        <v>1358</v>
      </c>
      <c r="D1637" s="1" t="str">
        <f>IFERROR(__xludf.DUMMYFUNCTION("GOOGLETRANSLATE(C1637, ""zh-CN"", ""en"")"),"Heze City")</f>
        <v>Heze City</v>
      </c>
      <c r="E1637" s="1" t="s">
        <v>1503</v>
      </c>
      <c r="F1637" s="1" t="str">
        <f>IFERROR(__xludf.DUMMYFUNCTION("GOOGLETRANSLATE(E1637, ""zh-CN"", ""en"")"),"Chengwu County")</f>
        <v>Chengwu County</v>
      </c>
      <c r="G1637" s="1">
        <v>3.71723E11</v>
      </c>
    </row>
    <row r="1638">
      <c r="A1638" s="1" t="s">
        <v>1342</v>
      </c>
      <c r="B1638" s="1" t="str">
        <f>IFERROR(__xludf.DUMMYFUNCTION("GOOGLETRANSLATE(A1564, ""zh-CN"", ""en"")"),"Shandong Province")</f>
        <v>Shandong Province</v>
      </c>
      <c r="C1638" s="1" t="s">
        <v>1358</v>
      </c>
      <c r="D1638" s="1" t="str">
        <f>IFERROR(__xludf.DUMMYFUNCTION("GOOGLETRANSLATE(C1638, ""zh-CN"", ""en"")"),"Heze City")</f>
        <v>Heze City</v>
      </c>
      <c r="E1638" s="1" t="s">
        <v>1504</v>
      </c>
      <c r="F1638" s="1" t="str">
        <f>IFERROR(__xludf.DUMMYFUNCTION("GOOGLETRANSLATE(E1638, ""zh-CN"", ""en"")"),"Junye County")</f>
        <v>Junye County</v>
      </c>
      <c r="G1638" s="1">
        <v>3.71724E11</v>
      </c>
    </row>
    <row r="1639">
      <c r="A1639" s="1" t="s">
        <v>1342</v>
      </c>
      <c r="B1639" s="1" t="str">
        <f>IFERROR(__xludf.DUMMYFUNCTION("GOOGLETRANSLATE(A1565, ""zh-CN"", ""en"")"),"Shandong Province")</f>
        <v>Shandong Province</v>
      </c>
      <c r="C1639" s="1" t="s">
        <v>1358</v>
      </c>
      <c r="D1639" s="1" t="str">
        <f>IFERROR(__xludf.DUMMYFUNCTION("GOOGLETRANSLATE(C1639, ""zh-CN"", ""en"")"),"Heze City")</f>
        <v>Heze City</v>
      </c>
      <c r="E1639" s="1" t="s">
        <v>1505</v>
      </c>
      <c r="F1639" s="1" t="str">
        <f>IFERROR(__xludf.DUMMYFUNCTION("GOOGLETRANSLATE(E1639, ""zh-CN"", ""en"")"),"Tancheng County")</f>
        <v>Tancheng County</v>
      </c>
      <c r="G1639" s="1">
        <v>3.71725E11</v>
      </c>
    </row>
    <row r="1640">
      <c r="A1640" s="1" t="s">
        <v>1342</v>
      </c>
      <c r="B1640" s="1" t="str">
        <f>IFERROR(__xludf.DUMMYFUNCTION("GOOGLETRANSLATE(A1566, ""zh-CN"", ""en"")"),"Shandong Province")</f>
        <v>Shandong Province</v>
      </c>
      <c r="C1640" s="1" t="s">
        <v>1358</v>
      </c>
      <c r="D1640" s="1" t="str">
        <f>IFERROR(__xludf.DUMMYFUNCTION("GOOGLETRANSLATE(C1640, ""zh-CN"", ""en"")"),"Heze City")</f>
        <v>Heze City</v>
      </c>
      <c r="E1640" s="1" t="s">
        <v>1506</v>
      </c>
      <c r="F1640" s="1" t="str">
        <f>IFERROR(__xludf.DUMMYFUNCTION("GOOGLETRANSLATE(E1640, ""zh-CN"", ""en"")"),"Tancheng County")</f>
        <v>Tancheng County</v>
      </c>
      <c r="G1640" s="1">
        <v>3.71726E11</v>
      </c>
    </row>
    <row r="1641">
      <c r="A1641" s="1" t="s">
        <v>1342</v>
      </c>
      <c r="B1641" s="1" t="str">
        <f>IFERROR(__xludf.DUMMYFUNCTION("GOOGLETRANSLATE(A1567, ""zh-CN"", ""en"")"),"Shandong Province")</f>
        <v>Shandong Province</v>
      </c>
      <c r="C1641" s="1" t="s">
        <v>1358</v>
      </c>
      <c r="D1641" s="1" t="str">
        <f>IFERROR(__xludf.DUMMYFUNCTION("GOOGLETRANSLATE(C1641, ""zh-CN"", ""en"")"),"Heze City")</f>
        <v>Heze City</v>
      </c>
      <c r="E1641" s="1" t="s">
        <v>1507</v>
      </c>
      <c r="F1641" s="1" t="str">
        <f>IFERROR(__xludf.DUMMYFUNCTION("GOOGLETRANSLATE(E1641, ""zh-CN"", ""en"")"),"Dongming County")</f>
        <v>Dongming County</v>
      </c>
      <c r="G1641" s="1">
        <v>3.71728E11</v>
      </c>
    </row>
    <row r="1642">
      <c r="A1642" s="1" t="s">
        <v>1342</v>
      </c>
      <c r="B1642" s="1" t="str">
        <f>IFERROR(__xludf.DUMMYFUNCTION("GOOGLETRANSLATE(A1568, ""zh-CN"", ""en"")"),"Shandong Province")</f>
        <v>Shandong Province</v>
      </c>
      <c r="C1642" s="1" t="s">
        <v>1358</v>
      </c>
      <c r="D1642" s="1" t="str">
        <f>IFERROR(__xludf.DUMMYFUNCTION("GOOGLETRANSLATE(C1642, ""zh-CN"", ""en"")"),"Heze City")</f>
        <v>Heze City</v>
      </c>
      <c r="E1642" s="1" t="s">
        <v>1508</v>
      </c>
      <c r="F1642" s="1" t="str">
        <f>IFERROR(__xludf.DUMMYFUNCTION("GOOGLETRANSLATE(E1642, ""zh-CN"", ""en"")"),"Heze Economic and Technological Development Zone")</f>
        <v>Heze Economic and Technological Development Zone</v>
      </c>
      <c r="G1642" s="1">
        <v>3.71771E11</v>
      </c>
    </row>
    <row r="1643">
      <c r="A1643" s="1" t="s">
        <v>1342</v>
      </c>
      <c r="B1643" s="1" t="str">
        <f>IFERROR(__xludf.DUMMYFUNCTION("GOOGLETRANSLATE(A1569, ""zh-CN"", ""en"")"),"Shandong Province")</f>
        <v>Shandong Province</v>
      </c>
      <c r="C1643" s="1" t="s">
        <v>1358</v>
      </c>
      <c r="D1643" s="1" t="str">
        <f>IFERROR(__xludf.DUMMYFUNCTION("GOOGLETRANSLATE(C1643, ""zh-CN"", ""en"")"),"Heze City")</f>
        <v>Heze City</v>
      </c>
      <c r="E1643" s="1" t="s">
        <v>1509</v>
      </c>
      <c r="F1643" s="1" t="str">
        <f>IFERROR(__xludf.DUMMYFUNCTION("GOOGLETRANSLATE(E1643, ""zh-CN"", ""en"")"),"Heze High -tech Development Zone")</f>
        <v>Heze High -tech Development Zone</v>
      </c>
      <c r="G1643" s="1">
        <v>3.71772E11</v>
      </c>
    </row>
    <row r="1644">
      <c r="A1644" s="1" t="s">
        <v>1510</v>
      </c>
      <c r="B1644" s="1" t="str">
        <f>IFERROR(__xludf.DUMMYFUNCTION("GOOGLETRANSLATE(A1570, ""zh-CN"", ""en"")"),"Shandong Province")</f>
        <v>Shandong Province</v>
      </c>
      <c r="C1644" s="1" t="s">
        <v>8</v>
      </c>
      <c r="D1644" s="1" t="str">
        <f>IFERROR(__xludf.DUMMYFUNCTION("GOOGLETRANSLATE(C1644, ""zh-CN"", ""en"")"),"Na")</f>
        <v>Na</v>
      </c>
      <c r="E1644" s="1" t="s">
        <v>8</v>
      </c>
      <c r="F1644" s="1" t="str">
        <f>IFERROR(__xludf.DUMMYFUNCTION("GOOGLETRANSLATE(E1644, ""zh-CN"", ""en"")"),"Na")</f>
        <v>Na</v>
      </c>
      <c r="G1644" s="1">
        <v>54.0</v>
      </c>
    </row>
    <row r="1645">
      <c r="A1645" s="1" t="s">
        <v>1510</v>
      </c>
      <c r="B1645" s="1" t="str">
        <f>IFERROR(__xludf.DUMMYFUNCTION("GOOGLETRANSLATE(A1571, ""zh-CN"", ""en"")"),"Shandong Province")</f>
        <v>Shandong Province</v>
      </c>
      <c r="C1645" s="1" t="s">
        <v>1511</v>
      </c>
      <c r="D1645" s="1" t="str">
        <f>IFERROR(__xludf.DUMMYFUNCTION("GOOGLETRANSLATE(C1645, ""zh-CN"", ""en"")"),"Lhasa")</f>
        <v>Lhasa</v>
      </c>
      <c r="E1645" s="1" t="s">
        <v>8</v>
      </c>
      <c r="F1645" s="1" t="str">
        <f>IFERROR(__xludf.DUMMYFUNCTION("GOOGLETRANSLATE(E1645, ""zh-CN"", ""en"")"),"Na")</f>
        <v>Na</v>
      </c>
      <c r="G1645" s="1">
        <v>5.401E11</v>
      </c>
    </row>
    <row r="1646">
      <c r="A1646" s="1" t="s">
        <v>1510</v>
      </c>
      <c r="B1646" s="1" t="str">
        <f>IFERROR(__xludf.DUMMYFUNCTION("GOOGLETRANSLATE(A1572, ""zh-CN"", ""en"")"),"Shandong Province")</f>
        <v>Shandong Province</v>
      </c>
      <c r="C1646" s="1" t="s">
        <v>1512</v>
      </c>
      <c r="D1646" s="1" t="str">
        <f>IFERROR(__xludf.DUMMYFUNCTION("GOOGLETRANSLATE(C1646, ""zh-CN"", ""en"")"),"Shigatse City")</f>
        <v>Shigatse City</v>
      </c>
      <c r="E1646" s="1" t="s">
        <v>8</v>
      </c>
      <c r="F1646" s="1" t="str">
        <f>IFERROR(__xludf.DUMMYFUNCTION("GOOGLETRANSLATE(E1646, ""zh-CN"", ""en"")"),"Na")</f>
        <v>Na</v>
      </c>
      <c r="G1646" s="1">
        <v>5.402E11</v>
      </c>
    </row>
    <row r="1647">
      <c r="A1647" s="1" t="s">
        <v>1510</v>
      </c>
      <c r="B1647" s="1" t="str">
        <f>IFERROR(__xludf.DUMMYFUNCTION("GOOGLETRANSLATE(A1573, ""zh-CN"", ""en"")"),"Shandong Province")</f>
        <v>Shandong Province</v>
      </c>
      <c r="C1647" s="1" t="s">
        <v>1513</v>
      </c>
      <c r="D1647" s="1" t="str">
        <f>IFERROR(__xludf.DUMMYFUNCTION("GOOGLETRANSLATE(C1647, ""zh-CN"", ""en"")"),"Qamdo")</f>
        <v>Qamdo</v>
      </c>
      <c r="E1647" s="1" t="s">
        <v>8</v>
      </c>
      <c r="F1647" s="1" t="str">
        <f>IFERROR(__xludf.DUMMYFUNCTION("GOOGLETRANSLATE(E1647, ""zh-CN"", ""en"")"),"Na")</f>
        <v>Na</v>
      </c>
      <c r="G1647" s="1">
        <v>5.403E11</v>
      </c>
    </row>
    <row r="1648">
      <c r="A1648" s="1" t="s">
        <v>1510</v>
      </c>
      <c r="B1648" s="1" t="str">
        <f>IFERROR(__xludf.DUMMYFUNCTION("GOOGLETRANSLATE(A1574, ""zh-CN"", ""en"")"),"Shandong Province")</f>
        <v>Shandong Province</v>
      </c>
      <c r="C1648" s="1" t="s">
        <v>1514</v>
      </c>
      <c r="D1648" s="1" t="str">
        <f>IFERROR(__xludf.DUMMYFUNCTION("GOOGLETRANSLATE(C1648, ""zh-CN"", ""en"")"),"Nyingchi City")</f>
        <v>Nyingchi City</v>
      </c>
      <c r="E1648" s="1" t="s">
        <v>8</v>
      </c>
      <c r="F1648" s="1" t="str">
        <f>IFERROR(__xludf.DUMMYFUNCTION("GOOGLETRANSLATE(E1648, ""zh-CN"", ""en"")"),"Na")</f>
        <v>Na</v>
      </c>
      <c r="G1648" s="1">
        <v>5.404E11</v>
      </c>
    </row>
    <row r="1649">
      <c r="A1649" s="1" t="s">
        <v>1510</v>
      </c>
      <c r="B1649" s="1" t="str">
        <f>IFERROR(__xludf.DUMMYFUNCTION("GOOGLETRANSLATE(A1575, ""zh-CN"", ""en"")"),"Shandong Province")</f>
        <v>Shandong Province</v>
      </c>
      <c r="C1649" s="1" t="s">
        <v>1515</v>
      </c>
      <c r="D1649" s="1" t="str">
        <f>IFERROR(__xludf.DUMMYFUNCTION("GOOGLETRANSLATE(C1649, ""zh-CN"", ""en"")"),"Shannan City")</f>
        <v>Shannan City</v>
      </c>
      <c r="E1649" s="1" t="s">
        <v>8</v>
      </c>
      <c r="F1649" s="1" t="str">
        <f>IFERROR(__xludf.DUMMYFUNCTION("GOOGLETRANSLATE(E1649, ""zh-CN"", ""en"")"),"Na")</f>
        <v>Na</v>
      </c>
      <c r="G1649" s="1">
        <v>5.405E11</v>
      </c>
    </row>
    <row r="1650">
      <c r="A1650" s="1" t="s">
        <v>1510</v>
      </c>
      <c r="B1650" s="1" t="str">
        <f>IFERROR(__xludf.DUMMYFUNCTION("GOOGLETRANSLATE(A1576, ""zh-CN"", ""en"")"),"Shandong Province")</f>
        <v>Shandong Province</v>
      </c>
      <c r="C1650" s="1" t="s">
        <v>1516</v>
      </c>
      <c r="D1650" s="1" t="str">
        <f>IFERROR(__xludf.DUMMYFUNCTION("GOOGLETRANSLATE(C1650, ""zh-CN"", ""en"")"),"Naqu City")</f>
        <v>Naqu City</v>
      </c>
      <c r="E1650" s="1" t="s">
        <v>8</v>
      </c>
      <c r="F1650" s="1" t="str">
        <f>IFERROR(__xludf.DUMMYFUNCTION("GOOGLETRANSLATE(E1650, ""zh-CN"", ""en"")"),"Na")</f>
        <v>Na</v>
      </c>
      <c r="G1650" s="1">
        <v>5.406E11</v>
      </c>
    </row>
    <row r="1651">
      <c r="A1651" s="1" t="s">
        <v>1510</v>
      </c>
      <c r="B1651" s="1" t="str">
        <f>IFERROR(__xludf.DUMMYFUNCTION("GOOGLETRANSLATE(A1577, ""zh-CN"", ""en"")"),"Shandong Province")</f>
        <v>Shandong Province</v>
      </c>
      <c r="C1651" s="1" t="s">
        <v>1517</v>
      </c>
      <c r="D1651" s="1" t="str">
        <f>IFERROR(__xludf.DUMMYFUNCTION("GOOGLETRANSLATE(C1651, ""zh-CN"", ""en"")"),"Ali area")</f>
        <v>Ali area</v>
      </c>
      <c r="E1651" s="1" t="s">
        <v>8</v>
      </c>
      <c r="F1651" s="1" t="str">
        <f>IFERROR(__xludf.DUMMYFUNCTION("GOOGLETRANSLATE(E1651, ""zh-CN"", ""en"")"),"Na")</f>
        <v>Na</v>
      </c>
      <c r="G1651" s="1">
        <v>5.425E11</v>
      </c>
    </row>
    <row r="1652">
      <c r="A1652" s="1" t="s">
        <v>1510</v>
      </c>
      <c r="B1652" s="1" t="str">
        <f>IFERROR(__xludf.DUMMYFUNCTION("GOOGLETRANSLATE(A1578, ""zh-CN"", ""en"")"),"Shandong Province")</f>
        <v>Shandong Province</v>
      </c>
      <c r="C1652" s="1" t="s">
        <v>1511</v>
      </c>
      <c r="D1652" s="1" t="str">
        <f>IFERROR(__xludf.DUMMYFUNCTION("GOOGLETRANSLATE(C1652, ""zh-CN"", ""en"")"),"Lhasa")</f>
        <v>Lhasa</v>
      </c>
      <c r="E1652" s="1" t="s">
        <v>24</v>
      </c>
      <c r="F1652" s="1" t="str">
        <f>IFERROR(__xludf.DUMMYFUNCTION("GOOGLETRANSLATE(E1652, ""zh-CN"", ""en"")"),"City area")</f>
        <v>City area</v>
      </c>
      <c r="G1652" s="1">
        <v>5.40101E11</v>
      </c>
    </row>
    <row r="1653">
      <c r="A1653" s="1" t="s">
        <v>1510</v>
      </c>
      <c r="B1653" s="1" t="str">
        <f>IFERROR(__xludf.DUMMYFUNCTION("GOOGLETRANSLATE(A1579, ""zh-CN"", ""en"")"),"Shandong Province")</f>
        <v>Shandong Province</v>
      </c>
      <c r="C1653" s="1" t="s">
        <v>1511</v>
      </c>
      <c r="D1653" s="1" t="str">
        <f>IFERROR(__xludf.DUMMYFUNCTION("GOOGLETRANSLATE(C1653, ""zh-CN"", ""en"")"),"Lhasa")</f>
        <v>Lhasa</v>
      </c>
      <c r="E1653" s="1" t="s">
        <v>1518</v>
      </c>
      <c r="F1653" s="1" t="str">
        <f>IFERROR(__xludf.DUMMYFUNCTION("GOOGLETRANSLATE(E1653, ""zh-CN"", ""en"")"),"City customs")</f>
        <v>City customs</v>
      </c>
      <c r="G1653" s="1">
        <v>5.40102E11</v>
      </c>
    </row>
    <row r="1654">
      <c r="A1654" s="1" t="s">
        <v>1510</v>
      </c>
      <c r="B1654" s="1" t="str">
        <f>IFERROR(__xludf.DUMMYFUNCTION("GOOGLETRANSLATE(A1580, ""zh-CN"", ""en"")"),"Shandong Province")</f>
        <v>Shandong Province</v>
      </c>
      <c r="C1654" s="1" t="s">
        <v>1511</v>
      </c>
      <c r="D1654" s="1" t="str">
        <f>IFERROR(__xludf.DUMMYFUNCTION("GOOGLETRANSLATE(C1654, ""zh-CN"", ""en"")"),"Lhasa")</f>
        <v>Lhasa</v>
      </c>
      <c r="E1654" s="1" t="s">
        <v>1519</v>
      </c>
      <c r="F1654" s="1" t="str">
        <f>IFERROR(__xludf.DUMMYFUNCTION("GOOGLETRANSLATE(E1654, ""zh-CN"", ""en"")"),"Dai Long Deqing District")</f>
        <v>Dai Long Deqing District</v>
      </c>
      <c r="G1654" s="1">
        <v>5.40103E11</v>
      </c>
    </row>
    <row r="1655">
      <c r="A1655" s="1" t="s">
        <v>1510</v>
      </c>
      <c r="B1655" s="1" t="str">
        <f>IFERROR(__xludf.DUMMYFUNCTION("GOOGLETRANSLATE(A1581, ""zh-CN"", ""en"")"),"Shandong Province")</f>
        <v>Shandong Province</v>
      </c>
      <c r="C1655" s="1" t="s">
        <v>1511</v>
      </c>
      <c r="D1655" s="1" t="str">
        <f>IFERROR(__xludf.DUMMYFUNCTION("GOOGLETRANSLATE(C1655, ""zh-CN"", ""en"")"),"Lhasa")</f>
        <v>Lhasa</v>
      </c>
      <c r="E1655" s="1" t="s">
        <v>1520</v>
      </c>
      <c r="F1655" s="1" t="str">
        <f>IFERROR(__xludf.DUMMYFUNCTION("GOOGLETRANSLATE(E1655, ""zh-CN"", ""en"")"),"Dazi District")</f>
        <v>Dazi District</v>
      </c>
      <c r="G1655" s="1">
        <v>5.40104E11</v>
      </c>
    </row>
    <row r="1656">
      <c r="A1656" s="1" t="s">
        <v>1510</v>
      </c>
      <c r="B1656" s="1" t="str">
        <f>IFERROR(__xludf.DUMMYFUNCTION("GOOGLETRANSLATE(A1582, ""zh-CN"", ""en"")"),"Shandong Province")</f>
        <v>Shandong Province</v>
      </c>
      <c r="C1656" s="1" t="s">
        <v>1511</v>
      </c>
      <c r="D1656" s="1" t="str">
        <f>IFERROR(__xludf.DUMMYFUNCTION("GOOGLETRANSLATE(C1656, ""zh-CN"", ""en"")"),"Lhasa")</f>
        <v>Lhasa</v>
      </c>
      <c r="E1656" s="1" t="s">
        <v>1521</v>
      </c>
      <c r="F1656" s="1" t="str">
        <f>IFERROR(__xludf.DUMMYFUNCTION("GOOGLETRANSLATE(E1656, ""zh-CN"", ""en"")"),"Linzhou County")</f>
        <v>Linzhou County</v>
      </c>
      <c r="G1656" s="1">
        <v>5.40121E11</v>
      </c>
    </row>
    <row r="1657">
      <c r="A1657" s="1" t="s">
        <v>1510</v>
      </c>
      <c r="B1657" s="1" t="str">
        <f>IFERROR(__xludf.DUMMYFUNCTION("GOOGLETRANSLATE(A1583, ""zh-CN"", ""en"")"),"Shandong Province")</f>
        <v>Shandong Province</v>
      </c>
      <c r="C1657" s="1" t="s">
        <v>1511</v>
      </c>
      <c r="D1657" s="1" t="str">
        <f>IFERROR(__xludf.DUMMYFUNCTION("GOOGLETRANSLATE(C1657, ""zh-CN"", ""en"")"),"Lhasa")</f>
        <v>Lhasa</v>
      </c>
      <c r="E1657" s="1" t="s">
        <v>1522</v>
      </c>
      <c r="F1657" s="1" t="str">
        <f>IFERROR(__xludf.DUMMYFUNCTION("GOOGLETRANSLATE(E1657, ""zh-CN"", ""en"")"),"Dangxiong County")</f>
        <v>Dangxiong County</v>
      </c>
      <c r="G1657" s="1">
        <v>5.40122E11</v>
      </c>
    </row>
    <row r="1658">
      <c r="A1658" s="1" t="s">
        <v>1510</v>
      </c>
      <c r="B1658" s="1" t="str">
        <f>IFERROR(__xludf.DUMMYFUNCTION("GOOGLETRANSLATE(A1584, ""zh-CN"", ""en"")"),"Shandong Province")</f>
        <v>Shandong Province</v>
      </c>
      <c r="C1658" s="1" t="s">
        <v>1511</v>
      </c>
      <c r="D1658" s="1" t="str">
        <f>IFERROR(__xludf.DUMMYFUNCTION("GOOGLETRANSLATE(C1658, ""zh-CN"", ""en"")"),"Lhasa")</f>
        <v>Lhasa</v>
      </c>
      <c r="E1658" s="1" t="s">
        <v>1523</v>
      </c>
      <c r="F1658" s="1" t="str">
        <f>IFERROR(__xludf.DUMMYFUNCTION("GOOGLETRANSLATE(E1658, ""zh-CN"", ""en"")"),"Nimu County")</f>
        <v>Nimu County</v>
      </c>
      <c r="G1658" s="1">
        <v>5.40123E11</v>
      </c>
    </row>
    <row r="1659">
      <c r="A1659" s="1" t="s">
        <v>1510</v>
      </c>
      <c r="B1659" s="1" t="str">
        <f>IFERROR(__xludf.DUMMYFUNCTION("GOOGLETRANSLATE(A1585, ""zh-CN"", ""en"")"),"Shandong Province")</f>
        <v>Shandong Province</v>
      </c>
      <c r="C1659" s="1" t="s">
        <v>1511</v>
      </c>
      <c r="D1659" s="1" t="str">
        <f>IFERROR(__xludf.DUMMYFUNCTION("GOOGLETRANSLATE(C1659, ""zh-CN"", ""en"")"),"Lhasa")</f>
        <v>Lhasa</v>
      </c>
      <c r="E1659" s="1" t="s">
        <v>1524</v>
      </c>
      <c r="F1659" s="1" t="str">
        <f>IFERROR(__xludf.DUMMYFUNCTION("GOOGLETRANSLATE(E1659, ""zh-CN"", ""en"")"),"Qushui County")</f>
        <v>Qushui County</v>
      </c>
      <c r="G1659" s="1">
        <v>5.40124E11</v>
      </c>
    </row>
    <row r="1660">
      <c r="A1660" s="1" t="s">
        <v>1510</v>
      </c>
      <c r="B1660" s="1" t="str">
        <f>IFERROR(__xludf.DUMMYFUNCTION("GOOGLETRANSLATE(A1586, ""zh-CN"", ""en"")"),"Shandong Province")</f>
        <v>Shandong Province</v>
      </c>
      <c r="C1660" s="1" t="s">
        <v>1511</v>
      </c>
      <c r="D1660" s="1" t="str">
        <f>IFERROR(__xludf.DUMMYFUNCTION("GOOGLETRANSLATE(C1660, ""zh-CN"", ""en"")"),"Lhasa")</f>
        <v>Lhasa</v>
      </c>
      <c r="E1660" s="1" t="s">
        <v>1525</v>
      </c>
      <c r="F1660" s="1" t="str">
        <f>IFERROR(__xludf.DUMMYFUNCTION("GOOGLETRANSLATE(E1660, ""zh-CN"", ""en"")"),"Mozhu Gongka County")</f>
        <v>Mozhu Gongka County</v>
      </c>
      <c r="G1660" s="1">
        <v>5.40127E11</v>
      </c>
    </row>
    <row r="1661">
      <c r="A1661" s="1" t="s">
        <v>1510</v>
      </c>
      <c r="B1661" s="1" t="str">
        <f>IFERROR(__xludf.DUMMYFUNCTION("GOOGLETRANSLATE(A1587, ""zh-CN"", ""en"")"),"Shandong Province")</f>
        <v>Shandong Province</v>
      </c>
      <c r="C1661" s="1" t="s">
        <v>1511</v>
      </c>
      <c r="D1661" s="1" t="str">
        <f>IFERROR(__xludf.DUMMYFUNCTION("GOOGLETRANSLATE(C1661, ""zh-CN"", ""en"")"),"Lhasa")</f>
        <v>Lhasa</v>
      </c>
      <c r="E1661" s="1" t="s">
        <v>1526</v>
      </c>
      <c r="F1661" s="1" t="str">
        <f>IFERROR(__xludf.DUMMYFUNCTION("GOOGLETRANSLATE(E1661, ""zh-CN"", ""en"")"),"Golmud Tibetan Green Industrial Park")</f>
        <v>Golmud Tibetan Green Industrial Park</v>
      </c>
      <c r="G1661" s="1">
        <v>5.40171E11</v>
      </c>
    </row>
    <row r="1662">
      <c r="A1662" s="1" t="s">
        <v>1510</v>
      </c>
      <c r="B1662" s="1" t="str">
        <f>IFERROR(__xludf.DUMMYFUNCTION("GOOGLETRANSLATE(A1588, ""zh-CN"", ""en"")"),"Shandong Province")</f>
        <v>Shandong Province</v>
      </c>
      <c r="C1662" s="1" t="s">
        <v>1511</v>
      </c>
      <c r="D1662" s="1" t="str">
        <f>IFERROR(__xludf.DUMMYFUNCTION("GOOGLETRANSLATE(C1662, ""zh-CN"", ""en"")"),"Lhasa")</f>
        <v>Lhasa</v>
      </c>
      <c r="E1662" s="1" t="s">
        <v>1527</v>
      </c>
      <c r="F1662" s="1" t="str">
        <f>IFERROR(__xludf.DUMMYFUNCTION("GOOGLETRANSLATE(E1662, ""zh-CN"", ""en"")"),"Lhasa Economic and Technological Development Zone")</f>
        <v>Lhasa Economic and Technological Development Zone</v>
      </c>
      <c r="G1662" s="1">
        <v>5.40172E11</v>
      </c>
    </row>
    <row r="1663">
      <c r="A1663" s="1" t="s">
        <v>1510</v>
      </c>
      <c r="B1663" s="1" t="str">
        <f>IFERROR(__xludf.DUMMYFUNCTION("GOOGLETRANSLATE(A1589, ""zh-CN"", ""en"")"),"Shandong Province")</f>
        <v>Shandong Province</v>
      </c>
      <c r="C1663" s="1" t="s">
        <v>1511</v>
      </c>
      <c r="D1663" s="1" t="str">
        <f>IFERROR(__xludf.DUMMYFUNCTION("GOOGLETRANSLATE(C1663, ""zh-CN"", ""en"")"),"Lhasa")</f>
        <v>Lhasa</v>
      </c>
      <c r="E1663" s="1" t="s">
        <v>1528</v>
      </c>
      <c r="F1663" s="1" t="str">
        <f>IFERROR(__xludf.DUMMYFUNCTION("GOOGLETRANSLATE(E1663, ""zh-CN"", ""en"")"),"Tibet Cultural Tourism Creative Park")</f>
        <v>Tibet Cultural Tourism Creative Park</v>
      </c>
      <c r="G1663" s="1">
        <v>5.40173E11</v>
      </c>
    </row>
    <row r="1664">
      <c r="A1664" s="1" t="s">
        <v>1510</v>
      </c>
      <c r="B1664" s="1" t="str">
        <f>IFERROR(__xludf.DUMMYFUNCTION("GOOGLETRANSLATE(A1590, ""zh-CN"", ""en"")"),"Shandong Province")</f>
        <v>Shandong Province</v>
      </c>
      <c r="C1664" s="1" t="s">
        <v>1511</v>
      </c>
      <c r="D1664" s="1" t="str">
        <f>IFERROR(__xludf.DUMMYFUNCTION("GOOGLETRANSLATE(C1664, ""zh-CN"", ""en"")"),"Lhasa")</f>
        <v>Lhasa</v>
      </c>
      <c r="E1664" s="1" t="s">
        <v>1529</v>
      </c>
      <c r="F1664" s="1" t="str">
        <f>IFERROR(__xludf.DUMMYFUNCTION("GOOGLETRANSLATE(E1664, ""zh-CN"", ""en"")"),"Dazi Industrial Park")</f>
        <v>Dazi Industrial Park</v>
      </c>
      <c r="G1664" s="1">
        <v>5.40174E11</v>
      </c>
    </row>
    <row r="1665">
      <c r="A1665" s="1" t="s">
        <v>1510</v>
      </c>
      <c r="B1665" s="1" t="str">
        <f>IFERROR(__xludf.DUMMYFUNCTION("GOOGLETRANSLATE(A1591, ""zh-CN"", ""en"")"),"Shandong Province")</f>
        <v>Shandong Province</v>
      </c>
      <c r="C1665" s="1" t="s">
        <v>1512</v>
      </c>
      <c r="D1665" s="1" t="str">
        <f>IFERROR(__xludf.DUMMYFUNCTION("GOOGLETRANSLATE(C1665, ""zh-CN"", ""en"")"),"Shigatse City")</f>
        <v>Shigatse City</v>
      </c>
      <c r="E1665" s="1" t="s">
        <v>1530</v>
      </c>
      <c r="F1665" s="1" t="str">
        <f>IFERROR(__xludf.DUMMYFUNCTION("GOOGLETRANSLATE(E1665, ""zh-CN"", ""en"")"),"Sangzuzi District")</f>
        <v>Sangzuzi District</v>
      </c>
      <c r="G1665" s="1">
        <v>5.40202E11</v>
      </c>
    </row>
    <row r="1666">
      <c r="A1666" s="1" t="s">
        <v>1510</v>
      </c>
      <c r="B1666" s="1" t="str">
        <f>IFERROR(__xludf.DUMMYFUNCTION("GOOGLETRANSLATE(A1592, ""zh-CN"", ""en"")"),"Shandong Province")</f>
        <v>Shandong Province</v>
      </c>
      <c r="C1666" s="1" t="s">
        <v>1512</v>
      </c>
      <c r="D1666" s="1" t="str">
        <f>IFERROR(__xludf.DUMMYFUNCTION("GOOGLETRANSLATE(C1666, ""zh-CN"", ""en"")"),"Shigatse City")</f>
        <v>Shigatse City</v>
      </c>
      <c r="E1666" s="1" t="s">
        <v>1531</v>
      </c>
      <c r="F1666" s="1" t="str">
        <f>IFERROR(__xludf.DUMMYFUNCTION("GOOGLETRANSLATE(E1666, ""zh-CN"", ""en"")"),"Nanmulin County")</f>
        <v>Nanmulin County</v>
      </c>
      <c r="G1666" s="1">
        <v>5.40221E11</v>
      </c>
    </row>
    <row r="1667">
      <c r="A1667" s="1" t="s">
        <v>1510</v>
      </c>
      <c r="B1667" s="1" t="str">
        <f>IFERROR(__xludf.DUMMYFUNCTION("GOOGLETRANSLATE(A1593, ""zh-CN"", ""en"")"),"Shandong Province")</f>
        <v>Shandong Province</v>
      </c>
      <c r="C1667" s="1" t="s">
        <v>1512</v>
      </c>
      <c r="D1667" s="1" t="str">
        <f>IFERROR(__xludf.DUMMYFUNCTION("GOOGLETRANSLATE(C1667, ""zh-CN"", ""en"")"),"Shigatse City")</f>
        <v>Shigatse City</v>
      </c>
      <c r="E1667" s="1" t="s">
        <v>1532</v>
      </c>
      <c r="F1667" s="1" t="str">
        <f>IFERROR(__xludf.DUMMYFUNCTION("GOOGLETRANSLATE(E1667, ""zh-CN"", ""en"")"),"Jiangzi County")</f>
        <v>Jiangzi County</v>
      </c>
      <c r="G1667" s="1">
        <v>5.40222E11</v>
      </c>
    </row>
    <row r="1668">
      <c r="A1668" s="1" t="s">
        <v>1510</v>
      </c>
      <c r="B1668" s="1" t="str">
        <f>IFERROR(__xludf.DUMMYFUNCTION("GOOGLETRANSLATE(A1594, ""zh-CN"", ""en"")"),"Shandong Province")</f>
        <v>Shandong Province</v>
      </c>
      <c r="C1668" s="1" t="s">
        <v>1512</v>
      </c>
      <c r="D1668" s="1" t="str">
        <f>IFERROR(__xludf.DUMMYFUNCTION("GOOGLETRANSLATE(C1668, ""zh-CN"", ""en"")"),"Shigatse City")</f>
        <v>Shigatse City</v>
      </c>
      <c r="E1668" s="1" t="s">
        <v>1533</v>
      </c>
      <c r="F1668" s="1" t="str">
        <f>IFERROR(__xludf.DUMMYFUNCTION("GOOGLETRANSLATE(E1668, ""zh-CN"", ""en"")"),"Dingri County")</f>
        <v>Dingri County</v>
      </c>
      <c r="G1668" s="1">
        <v>5.40223E11</v>
      </c>
    </row>
    <row r="1669">
      <c r="A1669" s="1" t="s">
        <v>1510</v>
      </c>
      <c r="B1669" s="1" t="str">
        <f>IFERROR(__xludf.DUMMYFUNCTION("GOOGLETRANSLATE(A1595, ""zh-CN"", ""en"")"),"Shandong Province")</f>
        <v>Shandong Province</v>
      </c>
      <c r="C1669" s="1" t="s">
        <v>1512</v>
      </c>
      <c r="D1669" s="1" t="str">
        <f>IFERROR(__xludf.DUMMYFUNCTION("GOOGLETRANSLATE(C1669, ""zh-CN"", ""en"")"),"Shigatse City")</f>
        <v>Shigatse City</v>
      </c>
      <c r="E1669" s="1" t="s">
        <v>1534</v>
      </c>
      <c r="F1669" s="1" t="str">
        <f>IFERROR(__xludf.DUMMYFUNCTION("GOOGLETRANSLATE(E1669, ""zh-CN"", ""en"")"),"Sakya Prefecture")</f>
        <v>Sakya Prefecture</v>
      </c>
      <c r="G1669" s="1">
        <v>5.40224E11</v>
      </c>
    </row>
    <row r="1670">
      <c r="A1670" s="1" t="s">
        <v>1510</v>
      </c>
      <c r="B1670" s="1" t="str">
        <f>IFERROR(__xludf.DUMMYFUNCTION("GOOGLETRANSLATE(A1596, ""zh-CN"", ""en"")"),"Shandong Province")</f>
        <v>Shandong Province</v>
      </c>
      <c r="C1670" s="1" t="s">
        <v>1512</v>
      </c>
      <c r="D1670" s="1" t="str">
        <f>IFERROR(__xludf.DUMMYFUNCTION("GOOGLETRANSLATE(C1670, ""zh-CN"", ""en"")"),"Shigatse City")</f>
        <v>Shigatse City</v>
      </c>
      <c r="E1670" s="1" t="s">
        <v>1535</v>
      </c>
      <c r="F1670" s="1" t="str">
        <f>IFERROR(__xludf.DUMMYFUNCTION("GOOGLETRANSLATE(E1670, ""zh-CN"", ""en"")"),"Lazi County")</f>
        <v>Lazi County</v>
      </c>
      <c r="G1670" s="1">
        <v>5.40225E11</v>
      </c>
    </row>
    <row r="1671">
      <c r="A1671" s="1" t="s">
        <v>1510</v>
      </c>
      <c r="B1671" s="1" t="str">
        <f>IFERROR(__xludf.DUMMYFUNCTION("GOOGLETRANSLATE(A1597, ""zh-CN"", ""en"")"),"Shandong Province")</f>
        <v>Shandong Province</v>
      </c>
      <c r="C1671" s="1" t="s">
        <v>1512</v>
      </c>
      <c r="D1671" s="1" t="str">
        <f>IFERROR(__xludf.DUMMYFUNCTION("GOOGLETRANSLATE(C1671, ""zh-CN"", ""en"")"),"Shigatse City")</f>
        <v>Shigatse City</v>
      </c>
      <c r="E1671" s="1" t="s">
        <v>1536</v>
      </c>
      <c r="F1671" s="1" t="str">
        <f>IFERROR(__xludf.DUMMYFUNCTION("GOOGLETRANSLATE(E1671, ""zh-CN"", ""en"")"),"Angren County")</f>
        <v>Angren County</v>
      </c>
      <c r="G1671" s="1">
        <v>5.40226E11</v>
      </c>
    </row>
    <row r="1672">
      <c r="A1672" s="1" t="s">
        <v>1510</v>
      </c>
      <c r="B1672" s="1" t="str">
        <f>IFERROR(__xludf.DUMMYFUNCTION("GOOGLETRANSLATE(A1598, ""zh-CN"", ""en"")"),"Shandong Province")</f>
        <v>Shandong Province</v>
      </c>
      <c r="C1672" s="1" t="s">
        <v>1512</v>
      </c>
      <c r="D1672" s="1" t="str">
        <f>IFERROR(__xludf.DUMMYFUNCTION("GOOGLETRANSLATE(C1672, ""zh-CN"", ""en"")"),"Shigatse City")</f>
        <v>Shigatse City</v>
      </c>
      <c r="E1672" s="1" t="s">
        <v>1537</v>
      </c>
      <c r="F1672" s="1" t="str">
        <f>IFERROR(__xludf.DUMMYFUNCTION("GOOGLETRANSLATE(E1672, ""zh-CN"", ""en"")"),"Xie Tongmen County")</f>
        <v>Xie Tongmen County</v>
      </c>
      <c r="G1672" s="1">
        <v>5.40227E11</v>
      </c>
    </row>
    <row r="1673">
      <c r="A1673" s="1" t="s">
        <v>1510</v>
      </c>
      <c r="B1673" s="1" t="str">
        <f>IFERROR(__xludf.DUMMYFUNCTION("GOOGLETRANSLATE(A1599, ""zh-CN"", ""en"")"),"Shandong Province")</f>
        <v>Shandong Province</v>
      </c>
      <c r="C1673" s="1" t="s">
        <v>1512</v>
      </c>
      <c r="D1673" s="1" t="str">
        <f>IFERROR(__xludf.DUMMYFUNCTION("GOOGLETRANSLATE(C1673, ""zh-CN"", ""en"")"),"Shigatse City")</f>
        <v>Shigatse City</v>
      </c>
      <c r="E1673" s="1" t="s">
        <v>1538</v>
      </c>
      <c r="F1673" s="1" t="str">
        <f>IFERROR(__xludf.DUMMYFUNCTION("GOOGLETRANSLATE(E1673, ""zh-CN"", ""en"")"),"Bailang County")</f>
        <v>Bailang County</v>
      </c>
      <c r="G1673" s="1">
        <v>5.40228E11</v>
      </c>
    </row>
    <row r="1674">
      <c r="A1674" s="1" t="s">
        <v>1510</v>
      </c>
      <c r="B1674" s="1" t="str">
        <f>IFERROR(__xludf.DUMMYFUNCTION("GOOGLETRANSLATE(A1600, ""zh-CN"", ""en"")"),"Shandong Province")</f>
        <v>Shandong Province</v>
      </c>
      <c r="C1674" s="1" t="s">
        <v>1512</v>
      </c>
      <c r="D1674" s="1" t="str">
        <f>IFERROR(__xludf.DUMMYFUNCTION("GOOGLETRANSLATE(C1674, ""zh-CN"", ""en"")"),"Shigatse City")</f>
        <v>Shigatse City</v>
      </c>
      <c r="E1674" s="1" t="s">
        <v>1539</v>
      </c>
      <c r="F1674" s="1" t="str">
        <f>IFERROR(__xludf.DUMMYFUNCTION("GOOGLETRANSLATE(E1674, ""zh-CN"", ""en"")"),"Rinbu County")</f>
        <v>Rinbu County</v>
      </c>
      <c r="G1674" s="1">
        <v>5.40229E11</v>
      </c>
    </row>
    <row r="1675">
      <c r="A1675" s="1" t="s">
        <v>1510</v>
      </c>
      <c r="B1675" s="1" t="str">
        <f>IFERROR(__xludf.DUMMYFUNCTION("GOOGLETRANSLATE(A1601, ""zh-CN"", ""en"")"),"Shandong Province")</f>
        <v>Shandong Province</v>
      </c>
      <c r="C1675" s="1" t="s">
        <v>1512</v>
      </c>
      <c r="D1675" s="1" t="str">
        <f>IFERROR(__xludf.DUMMYFUNCTION("GOOGLETRANSLATE(C1675, ""zh-CN"", ""en"")"),"Shigatse City")</f>
        <v>Shigatse City</v>
      </c>
      <c r="E1675" s="1" t="s">
        <v>1540</v>
      </c>
      <c r="F1675" s="1" t="str">
        <f>IFERROR(__xludf.DUMMYFUNCTION("GOOGLETRANSLATE(E1675, ""zh-CN"", ""en"")"),"Kangma County")</f>
        <v>Kangma County</v>
      </c>
      <c r="G1675" s="1">
        <v>5.4023E11</v>
      </c>
    </row>
    <row r="1676">
      <c r="A1676" s="1" t="s">
        <v>1510</v>
      </c>
      <c r="B1676" s="1" t="str">
        <f>IFERROR(__xludf.DUMMYFUNCTION("GOOGLETRANSLATE(A1602, ""zh-CN"", ""en"")"),"Shandong Province")</f>
        <v>Shandong Province</v>
      </c>
      <c r="C1676" s="1" t="s">
        <v>1512</v>
      </c>
      <c r="D1676" s="1" t="str">
        <f>IFERROR(__xludf.DUMMYFUNCTION("GOOGLETRANSLATE(C1676, ""zh-CN"", ""en"")"),"Shigatse City")</f>
        <v>Shigatse City</v>
      </c>
      <c r="E1676" s="1" t="s">
        <v>1541</v>
      </c>
      <c r="F1676" s="1" t="str">
        <f>IFERROR(__xludf.DUMMYFUNCTION("GOOGLETRANSLATE(E1676, ""zh-CN"", ""en"")"),"Dingjie County")</f>
        <v>Dingjie County</v>
      </c>
      <c r="G1676" s="1">
        <v>5.40231E11</v>
      </c>
    </row>
    <row r="1677">
      <c r="A1677" s="1" t="s">
        <v>1510</v>
      </c>
      <c r="B1677" s="1" t="str">
        <f>IFERROR(__xludf.DUMMYFUNCTION("GOOGLETRANSLATE(A1603, ""zh-CN"", ""en"")"),"Shandong Province")</f>
        <v>Shandong Province</v>
      </c>
      <c r="C1677" s="1" t="s">
        <v>1512</v>
      </c>
      <c r="D1677" s="1" t="str">
        <f>IFERROR(__xludf.DUMMYFUNCTION("GOOGLETRANSLATE(C1677, ""zh-CN"", ""en"")"),"Shigatse City")</f>
        <v>Shigatse City</v>
      </c>
      <c r="E1677" s="1" t="s">
        <v>1542</v>
      </c>
      <c r="F1677" s="1" t="str">
        <f>IFERROR(__xludf.DUMMYFUNCTION("GOOGLETRANSLATE(E1677, ""zh-CN"", ""en"")"),"Zhongba County")</f>
        <v>Zhongba County</v>
      </c>
      <c r="G1677" s="1">
        <v>5.40232E11</v>
      </c>
    </row>
    <row r="1678">
      <c r="A1678" s="1" t="s">
        <v>1510</v>
      </c>
      <c r="B1678" s="1" t="str">
        <f>IFERROR(__xludf.DUMMYFUNCTION("GOOGLETRANSLATE(A1604, ""zh-CN"", ""en"")"),"Shandong Province")</f>
        <v>Shandong Province</v>
      </c>
      <c r="C1678" s="1" t="s">
        <v>1512</v>
      </c>
      <c r="D1678" s="1" t="str">
        <f>IFERROR(__xludf.DUMMYFUNCTION("GOOGLETRANSLATE(C1678, ""zh-CN"", ""en"")"),"Shigatse City")</f>
        <v>Shigatse City</v>
      </c>
      <c r="E1678" s="1" t="s">
        <v>1543</v>
      </c>
      <c r="F1678" s="1" t="str">
        <f>IFERROR(__xludf.DUMMYFUNCTION("GOOGLETRANSLATE(E1678, ""zh-CN"", ""en"")"),"Yadong County")</f>
        <v>Yadong County</v>
      </c>
      <c r="G1678" s="1">
        <v>5.40233E11</v>
      </c>
    </row>
    <row r="1679">
      <c r="A1679" s="1" t="s">
        <v>1510</v>
      </c>
      <c r="B1679" s="1" t="str">
        <f>IFERROR(__xludf.DUMMYFUNCTION("GOOGLETRANSLATE(A1605, ""zh-CN"", ""en"")"),"Shandong Province")</f>
        <v>Shandong Province</v>
      </c>
      <c r="C1679" s="1" t="s">
        <v>1512</v>
      </c>
      <c r="D1679" s="1" t="str">
        <f>IFERROR(__xludf.DUMMYFUNCTION("GOOGLETRANSLATE(C1679, ""zh-CN"", ""en"")"),"Shigatse City")</f>
        <v>Shigatse City</v>
      </c>
      <c r="E1679" s="1" t="s">
        <v>1544</v>
      </c>
      <c r="F1679" s="1" t="str">
        <f>IFERROR(__xludf.DUMMYFUNCTION("GOOGLETRANSLATE(E1679, ""zh-CN"", ""en"")"),"Kualal")</f>
        <v>Kualal</v>
      </c>
      <c r="G1679" s="1">
        <v>5.40234E11</v>
      </c>
    </row>
    <row r="1680">
      <c r="A1680" s="1" t="s">
        <v>1510</v>
      </c>
      <c r="B1680" s="1" t="str">
        <f>IFERROR(__xludf.DUMMYFUNCTION("GOOGLETRANSLATE(A1606, ""zh-CN"", ""en"")"),"Shandong Province")</f>
        <v>Shandong Province</v>
      </c>
      <c r="C1680" s="1" t="s">
        <v>1512</v>
      </c>
      <c r="D1680" s="1" t="str">
        <f>IFERROR(__xludf.DUMMYFUNCTION("GOOGLETRANSLATE(C1680, ""zh-CN"", ""en"")"),"Shigatse City")</f>
        <v>Shigatse City</v>
      </c>
      <c r="E1680" s="1" t="s">
        <v>1545</v>
      </c>
      <c r="F1680" s="1" t="str">
        <f>IFERROR(__xludf.DUMMYFUNCTION("GOOGLETRANSLATE(E1680, ""zh-CN"", ""en"")"),"Nyramu County")</f>
        <v>Nyramu County</v>
      </c>
      <c r="G1680" s="1">
        <v>5.40235E11</v>
      </c>
    </row>
    <row r="1681">
      <c r="A1681" s="1" t="s">
        <v>1510</v>
      </c>
      <c r="B1681" s="1" t="str">
        <f>IFERROR(__xludf.DUMMYFUNCTION("GOOGLETRANSLATE(A1607, ""zh-CN"", ""en"")"),"Shandong Province")</f>
        <v>Shandong Province</v>
      </c>
      <c r="C1681" s="1" t="s">
        <v>1512</v>
      </c>
      <c r="D1681" s="1" t="str">
        <f>IFERROR(__xludf.DUMMYFUNCTION("GOOGLETRANSLATE(C1681, ""zh-CN"", ""en"")"),"Shigatse City")</f>
        <v>Shigatse City</v>
      </c>
      <c r="E1681" s="1" t="s">
        <v>1546</v>
      </c>
      <c r="F1681" s="1" t="str">
        <f>IFERROR(__xludf.DUMMYFUNCTION("GOOGLETRANSLATE(E1681, ""zh-CN"", ""en"")"),"Saga County")</f>
        <v>Saga County</v>
      </c>
      <c r="G1681" s="1">
        <v>5.40236E11</v>
      </c>
    </row>
    <row r="1682">
      <c r="A1682" s="1" t="s">
        <v>1510</v>
      </c>
      <c r="B1682" s="1" t="str">
        <f>IFERROR(__xludf.DUMMYFUNCTION("GOOGLETRANSLATE(A1608, ""zh-CN"", ""en"")"),"Shandong Province")</f>
        <v>Shandong Province</v>
      </c>
      <c r="C1682" s="1" t="s">
        <v>1512</v>
      </c>
      <c r="D1682" s="1" t="str">
        <f>IFERROR(__xludf.DUMMYFUNCTION("GOOGLETRANSLATE(C1682, ""zh-CN"", ""en"")"),"Shigatse City")</f>
        <v>Shigatse City</v>
      </c>
      <c r="E1682" s="1" t="s">
        <v>1547</v>
      </c>
      <c r="F1682" s="1" t="str">
        <f>IFERROR(__xludf.DUMMYFUNCTION("GOOGLETRANSLATE(E1682, ""zh-CN"", ""en"")"),"Gangba County")</f>
        <v>Gangba County</v>
      </c>
      <c r="G1682" s="1">
        <v>5.40237E11</v>
      </c>
    </row>
    <row r="1683">
      <c r="A1683" s="1" t="s">
        <v>1510</v>
      </c>
      <c r="B1683" s="1" t="str">
        <f>IFERROR(__xludf.DUMMYFUNCTION("GOOGLETRANSLATE(A1609, ""zh-CN"", ""en"")"),"Shandong Province")</f>
        <v>Shandong Province</v>
      </c>
      <c r="C1683" s="1" t="s">
        <v>1513</v>
      </c>
      <c r="D1683" s="1" t="str">
        <f>IFERROR(__xludf.DUMMYFUNCTION("GOOGLETRANSLATE(C1683, ""zh-CN"", ""en"")"),"Qamdo")</f>
        <v>Qamdo</v>
      </c>
      <c r="E1683" s="1" t="s">
        <v>1548</v>
      </c>
      <c r="F1683" s="1" t="str">
        <f>IFERROR(__xludf.DUMMYFUNCTION("GOOGLETRANSLATE(E1683, ""zh-CN"", ""en"")"),"Kuruo District")</f>
        <v>Kuruo District</v>
      </c>
      <c r="G1683" s="1">
        <v>5.40302E11</v>
      </c>
    </row>
    <row r="1684">
      <c r="A1684" s="1" t="s">
        <v>1510</v>
      </c>
      <c r="B1684" s="1" t="str">
        <f>IFERROR(__xludf.DUMMYFUNCTION("GOOGLETRANSLATE(A1610, ""zh-CN"", ""en"")"),"Shandong Province")</f>
        <v>Shandong Province</v>
      </c>
      <c r="C1684" s="1" t="s">
        <v>1513</v>
      </c>
      <c r="D1684" s="1" t="str">
        <f>IFERROR(__xludf.DUMMYFUNCTION("GOOGLETRANSLATE(C1684, ""zh-CN"", ""en"")"),"Qamdo")</f>
        <v>Qamdo</v>
      </c>
      <c r="E1684" s="1" t="s">
        <v>1549</v>
      </c>
      <c r="F1684" s="1" t="str">
        <f>IFERROR(__xludf.DUMMYFUNCTION("GOOGLETRANSLATE(E1684, ""zh-CN"", ""en"")"),"Jiangda County")</f>
        <v>Jiangda County</v>
      </c>
      <c r="G1684" s="1">
        <v>5.40321E11</v>
      </c>
    </row>
    <row r="1685">
      <c r="A1685" s="1" t="s">
        <v>1510</v>
      </c>
      <c r="B1685" s="1" t="str">
        <f>IFERROR(__xludf.DUMMYFUNCTION("GOOGLETRANSLATE(A1611, ""zh-CN"", ""en"")"),"Shandong Province")</f>
        <v>Shandong Province</v>
      </c>
      <c r="C1685" s="1" t="s">
        <v>1513</v>
      </c>
      <c r="D1685" s="1" t="str">
        <f>IFERROR(__xludf.DUMMYFUNCTION("GOOGLETRANSLATE(C1685, ""zh-CN"", ""en"")"),"Qamdo")</f>
        <v>Qamdo</v>
      </c>
      <c r="E1685" s="1" t="s">
        <v>1550</v>
      </c>
      <c r="F1685" s="1" t="str">
        <f>IFERROR(__xludf.DUMMYFUNCTION("GOOGLETRANSLATE(E1685, ""zh-CN"", ""en"")"),"Gongjue County")</f>
        <v>Gongjue County</v>
      </c>
      <c r="G1685" s="1">
        <v>5.40322E11</v>
      </c>
    </row>
    <row r="1686">
      <c r="A1686" s="1" t="s">
        <v>1510</v>
      </c>
      <c r="B1686" s="1" t="str">
        <f>IFERROR(__xludf.DUMMYFUNCTION("GOOGLETRANSLATE(A1612, ""zh-CN"", ""en"")"),"Shandong Province")</f>
        <v>Shandong Province</v>
      </c>
      <c r="C1686" s="1" t="s">
        <v>1513</v>
      </c>
      <c r="D1686" s="1" t="str">
        <f>IFERROR(__xludf.DUMMYFUNCTION("GOOGLETRANSLATE(C1686, ""zh-CN"", ""en"")"),"Qamdo")</f>
        <v>Qamdo</v>
      </c>
      <c r="E1686" s="1" t="s">
        <v>1551</v>
      </c>
      <c r="F1686" s="1" t="str">
        <f>IFERROR(__xludf.DUMMYFUNCTION("GOOGLETRANSLATE(E1686, ""zh-CN"", ""en"")"),"Wuqi County")</f>
        <v>Wuqi County</v>
      </c>
      <c r="G1686" s="1">
        <v>5.40323E11</v>
      </c>
    </row>
    <row r="1687">
      <c r="A1687" s="1" t="s">
        <v>1510</v>
      </c>
      <c r="B1687" s="1" t="str">
        <f>IFERROR(__xludf.DUMMYFUNCTION("GOOGLETRANSLATE(A1613, ""zh-CN"", ""en"")"),"Shandong Province")</f>
        <v>Shandong Province</v>
      </c>
      <c r="C1687" s="1" t="s">
        <v>1513</v>
      </c>
      <c r="D1687" s="1" t="str">
        <f>IFERROR(__xludf.DUMMYFUNCTION("GOOGLETRANSLATE(C1687, ""zh-CN"", ""en"")"),"Qamdo")</f>
        <v>Qamdo</v>
      </c>
      <c r="E1687" s="1" t="s">
        <v>1552</v>
      </c>
      <c r="F1687" s="1" t="str">
        <f>IFERROR(__xludf.DUMMYFUNCTION("GOOGLETRANSLATE(E1687, ""zh-CN"", ""en"")"),"Dingqing County")</f>
        <v>Dingqing County</v>
      </c>
      <c r="G1687" s="1">
        <v>5.40324E11</v>
      </c>
    </row>
    <row r="1688">
      <c r="A1688" s="1" t="s">
        <v>1510</v>
      </c>
      <c r="B1688" s="1" t="str">
        <f>IFERROR(__xludf.DUMMYFUNCTION("GOOGLETRANSLATE(A1614, ""zh-CN"", ""en"")"),"Shandong Province")</f>
        <v>Shandong Province</v>
      </c>
      <c r="C1688" s="1" t="s">
        <v>1513</v>
      </c>
      <c r="D1688" s="1" t="str">
        <f>IFERROR(__xludf.DUMMYFUNCTION("GOOGLETRANSLATE(C1688, ""zh-CN"", ""en"")"),"Qamdo")</f>
        <v>Qamdo</v>
      </c>
      <c r="E1688" s="1" t="s">
        <v>1553</v>
      </c>
      <c r="F1688" s="1" t="str">
        <f>IFERROR(__xludf.DUMMYFUNCTION("GOOGLETRANSLATE(E1688, ""zh-CN"", ""en"")"),"Chaya Prefecture")</f>
        <v>Chaya Prefecture</v>
      </c>
      <c r="G1688" s="1">
        <v>5.40325E11</v>
      </c>
    </row>
    <row r="1689">
      <c r="A1689" s="1" t="s">
        <v>1510</v>
      </c>
      <c r="B1689" s="1" t="str">
        <f>IFERROR(__xludf.DUMMYFUNCTION("GOOGLETRANSLATE(A1615, ""zh-CN"", ""en"")"),"Shandong Province")</f>
        <v>Shandong Province</v>
      </c>
      <c r="C1689" s="1" t="s">
        <v>1513</v>
      </c>
      <c r="D1689" s="1" t="str">
        <f>IFERROR(__xludf.DUMMYFUNCTION("GOOGLETRANSLATE(C1689, ""zh-CN"", ""en"")"),"Qamdo")</f>
        <v>Qamdo</v>
      </c>
      <c r="E1689" s="1" t="s">
        <v>1554</v>
      </c>
      <c r="F1689" s="1" t="str">
        <f>IFERROR(__xludf.DUMMYFUNCTION("GOOGLETRANSLATE(E1689, ""zh-CN"", ""en"")"),"Babu County")</f>
        <v>Babu County</v>
      </c>
      <c r="G1689" s="1">
        <v>5.40326E11</v>
      </c>
    </row>
    <row r="1690">
      <c r="A1690" s="1" t="s">
        <v>1510</v>
      </c>
      <c r="B1690" s="1" t="str">
        <f>IFERROR(__xludf.DUMMYFUNCTION("GOOGLETRANSLATE(A1616, ""zh-CN"", ""en"")"),"Shandong Province")</f>
        <v>Shandong Province</v>
      </c>
      <c r="C1690" s="1" t="s">
        <v>1513</v>
      </c>
      <c r="D1690" s="1" t="str">
        <f>IFERROR(__xludf.DUMMYFUNCTION("GOOGLETRANSLATE(C1690, ""zh-CN"", ""en"")"),"Qamdo")</f>
        <v>Qamdo</v>
      </c>
      <c r="E1690" s="1" t="s">
        <v>1555</v>
      </c>
      <c r="F1690" s="1" t="str">
        <f>IFERROR(__xludf.DUMMYFUNCTION("GOOGLETRANSLATE(E1690, ""zh-CN"", ""en"")"),"Zuo Gong County")</f>
        <v>Zuo Gong County</v>
      </c>
      <c r="G1690" s="1">
        <v>5.40327E11</v>
      </c>
    </row>
    <row r="1691">
      <c r="A1691" s="1" t="s">
        <v>1510</v>
      </c>
      <c r="B1691" s="1" t="str">
        <f>IFERROR(__xludf.DUMMYFUNCTION("GOOGLETRANSLATE(A1617, ""zh-CN"", ""en"")"),"Shandong Province")</f>
        <v>Shandong Province</v>
      </c>
      <c r="C1691" s="1" t="s">
        <v>1513</v>
      </c>
      <c r="D1691" s="1" t="str">
        <f>IFERROR(__xludf.DUMMYFUNCTION("GOOGLETRANSLATE(C1691, ""zh-CN"", ""en"")"),"Qamdo")</f>
        <v>Qamdo</v>
      </c>
      <c r="E1691" s="1" t="s">
        <v>1556</v>
      </c>
      <c r="F1691" s="1" t="str">
        <f>IFERROR(__xludf.DUMMYFUNCTION("GOOGLETRANSLATE(E1691, ""zh-CN"", ""en"")"),"Mangang County")</f>
        <v>Mangang County</v>
      </c>
      <c r="G1691" s="1">
        <v>5.40328E11</v>
      </c>
    </row>
    <row r="1692">
      <c r="A1692" s="1" t="s">
        <v>1510</v>
      </c>
      <c r="B1692" s="1" t="str">
        <f>IFERROR(__xludf.DUMMYFUNCTION("GOOGLETRANSLATE(A1618, ""zh-CN"", ""en"")"),"Shandong Province")</f>
        <v>Shandong Province</v>
      </c>
      <c r="C1692" s="1" t="s">
        <v>1513</v>
      </c>
      <c r="D1692" s="1" t="str">
        <f>IFERROR(__xludf.DUMMYFUNCTION("GOOGLETRANSLATE(C1692, ""zh-CN"", ""en"")"),"Qamdo")</f>
        <v>Qamdo</v>
      </c>
      <c r="E1692" s="1" t="s">
        <v>1557</v>
      </c>
      <c r="F1692" s="1" t="str">
        <f>IFERROR(__xludf.DUMMYFUNCTION("GOOGLETRANSLATE(E1692, ""zh-CN"", ""en"")"),"Luolong County")</f>
        <v>Luolong County</v>
      </c>
      <c r="G1692" s="1">
        <v>5.40329E11</v>
      </c>
    </row>
    <row r="1693">
      <c r="A1693" s="1" t="s">
        <v>1510</v>
      </c>
      <c r="B1693" s="1" t="str">
        <f>IFERROR(__xludf.DUMMYFUNCTION("GOOGLETRANSLATE(A1619, ""zh-CN"", ""en"")"),"Shandong Province")</f>
        <v>Shandong Province</v>
      </c>
      <c r="C1693" s="1" t="s">
        <v>1513</v>
      </c>
      <c r="D1693" s="1" t="str">
        <f>IFERROR(__xludf.DUMMYFUNCTION("GOOGLETRANSLATE(C1693, ""zh-CN"", ""en"")"),"Qamdo")</f>
        <v>Qamdo</v>
      </c>
      <c r="E1693" s="1" t="s">
        <v>1558</v>
      </c>
      <c r="F1693" s="1" t="str">
        <f>IFERROR(__xludf.DUMMYFUNCTION("GOOGLETRANSLATE(E1693, ""zh-CN"", ""en"")"),"Bianba County")</f>
        <v>Bianba County</v>
      </c>
      <c r="G1693" s="1">
        <v>5.4033E11</v>
      </c>
    </row>
    <row r="1694">
      <c r="A1694" s="1" t="s">
        <v>1510</v>
      </c>
      <c r="B1694" s="1" t="str">
        <f>IFERROR(__xludf.DUMMYFUNCTION("GOOGLETRANSLATE(A1620, ""zh-CN"", ""en"")"),"Shandong Province")</f>
        <v>Shandong Province</v>
      </c>
      <c r="C1694" s="1" t="s">
        <v>1514</v>
      </c>
      <c r="D1694" s="1" t="str">
        <f>IFERROR(__xludf.DUMMYFUNCTION("GOOGLETRANSLATE(C1694, ""zh-CN"", ""en"")"),"Nyingchi City")</f>
        <v>Nyingchi City</v>
      </c>
      <c r="E1694" s="1" t="s">
        <v>1559</v>
      </c>
      <c r="F1694" s="1" t="str">
        <f>IFERROR(__xludf.DUMMYFUNCTION("GOOGLETRANSLATE(E1694, ""zh-CN"", ""en"")"),"Bayi District")</f>
        <v>Bayi District</v>
      </c>
      <c r="G1694" s="1">
        <v>5.40402E11</v>
      </c>
    </row>
    <row r="1695">
      <c r="A1695" s="1" t="s">
        <v>1510</v>
      </c>
      <c r="B1695" s="1" t="str">
        <f>IFERROR(__xludf.DUMMYFUNCTION("GOOGLETRANSLATE(A1621, ""zh-CN"", ""en"")"),"Shandong Province")</f>
        <v>Shandong Province</v>
      </c>
      <c r="C1695" s="1" t="s">
        <v>1514</v>
      </c>
      <c r="D1695" s="1" t="str">
        <f>IFERROR(__xludf.DUMMYFUNCTION("GOOGLETRANSLATE(C1695, ""zh-CN"", ""en"")"),"Nyingchi City")</f>
        <v>Nyingchi City</v>
      </c>
      <c r="E1695" s="1" t="s">
        <v>1560</v>
      </c>
      <c r="F1695" s="1" t="str">
        <f>IFERROR(__xludf.DUMMYFUNCTION("GOOGLETRANSLATE(E1695, ""zh-CN"", ""en"")"),"Gongbujiangda County")</f>
        <v>Gongbujiangda County</v>
      </c>
      <c r="G1695" s="1">
        <v>5.40421E11</v>
      </c>
    </row>
    <row r="1696">
      <c r="A1696" s="1" t="s">
        <v>1510</v>
      </c>
      <c r="B1696" s="1" t="str">
        <f>IFERROR(__xludf.DUMMYFUNCTION("GOOGLETRANSLATE(A1622, ""zh-CN"", ""en"")"),"Shandong Province")</f>
        <v>Shandong Province</v>
      </c>
      <c r="C1696" s="1" t="s">
        <v>1514</v>
      </c>
      <c r="D1696" s="1" t="str">
        <f>IFERROR(__xludf.DUMMYFUNCTION("GOOGLETRANSLATE(C1696, ""zh-CN"", ""en"")"),"Nyingchi City")</f>
        <v>Nyingchi City</v>
      </c>
      <c r="E1696" s="1" t="s">
        <v>1561</v>
      </c>
      <c r="F1696" s="1" t="str">
        <f>IFERROR(__xludf.DUMMYFUNCTION("GOOGLETRANSLATE(E1696, ""zh-CN"", ""en"")"),"Milin County")</f>
        <v>Milin County</v>
      </c>
      <c r="G1696" s="1">
        <v>5.40422E11</v>
      </c>
    </row>
    <row r="1697">
      <c r="A1697" s="1" t="s">
        <v>1510</v>
      </c>
      <c r="B1697" s="1" t="str">
        <f>IFERROR(__xludf.DUMMYFUNCTION("GOOGLETRANSLATE(A1623, ""zh-CN"", ""en"")"),"Shandong Province")</f>
        <v>Shandong Province</v>
      </c>
      <c r="C1697" s="1" t="s">
        <v>1514</v>
      </c>
      <c r="D1697" s="1" t="str">
        <f>IFERROR(__xludf.DUMMYFUNCTION("GOOGLETRANSLATE(C1697, ""zh-CN"", ""en"")"),"Nyingchi City")</f>
        <v>Nyingchi City</v>
      </c>
      <c r="E1697" s="1" t="s">
        <v>1562</v>
      </c>
      <c r="F1697" s="1" t="str">
        <f>IFERROR(__xludf.DUMMYFUNCTION("GOOGLETRANSLATE(E1697, ""zh-CN"", ""en"")"),"Moqi County")</f>
        <v>Moqi County</v>
      </c>
      <c r="G1697" s="1">
        <v>5.40423E11</v>
      </c>
    </row>
    <row r="1698">
      <c r="A1698" s="1" t="s">
        <v>1510</v>
      </c>
      <c r="B1698" s="1" t="str">
        <f>IFERROR(__xludf.DUMMYFUNCTION("GOOGLETRANSLATE(A1624, ""zh-CN"", ""en"")"),"Shandong Province")</f>
        <v>Shandong Province</v>
      </c>
      <c r="C1698" s="1" t="s">
        <v>1514</v>
      </c>
      <c r="D1698" s="1" t="str">
        <f>IFERROR(__xludf.DUMMYFUNCTION("GOOGLETRANSLATE(C1698, ""zh-CN"", ""en"")"),"Nyingchi City")</f>
        <v>Nyingchi City</v>
      </c>
      <c r="E1698" s="1" t="s">
        <v>1563</v>
      </c>
      <c r="F1698" s="1" t="str">
        <f>IFERROR(__xludf.DUMMYFUNCTION("GOOGLETRANSLATE(E1698, ""zh-CN"", ""en"")"),"Bomi County")</f>
        <v>Bomi County</v>
      </c>
      <c r="G1698" s="1">
        <v>5.40424E11</v>
      </c>
    </row>
    <row r="1699">
      <c r="A1699" s="1" t="s">
        <v>1510</v>
      </c>
      <c r="B1699" s="1" t="str">
        <f>IFERROR(__xludf.DUMMYFUNCTION("GOOGLETRANSLATE(A1625, ""zh-CN"", ""en"")"),"Shandong Province")</f>
        <v>Shandong Province</v>
      </c>
      <c r="C1699" s="1" t="s">
        <v>1514</v>
      </c>
      <c r="D1699" s="1" t="str">
        <f>IFERROR(__xludf.DUMMYFUNCTION("GOOGLETRANSLATE(C1699, ""zh-CN"", ""en"")"),"Nyingchi City")</f>
        <v>Nyingchi City</v>
      </c>
      <c r="E1699" s="1" t="s">
        <v>1564</v>
      </c>
      <c r="F1699" s="1" t="str">
        <f>IFERROR(__xludf.DUMMYFUNCTION("GOOGLETRANSLATE(E1699, ""zh-CN"", ""en"")"),"Chada County")</f>
        <v>Chada County</v>
      </c>
      <c r="G1699" s="1">
        <v>5.40425E11</v>
      </c>
    </row>
    <row r="1700">
      <c r="A1700" s="1" t="s">
        <v>1510</v>
      </c>
      <c r="B1700" s="1" t="str">
        <f>IFERROR(__xludf.DUMMYFUNCTION("GOOGLETRANSLATE(A1626, ""zh-CN"", ""en"")"),"Shandong Province")</f>
        <v>Shandong Province</v>
      </c>
      <c r="C1700" s="1" t="s">
        <v>1514</v>
      </c>
      <c r="D1700" s="1" t="str">
        <f>IFERROR(__xludf.DUMMYFUNCTION("GOOGLETRANSLATE(C1700, ""zh-CN"", ""en"")"),"Nyingchi City")</f>
        <v>Nyingchi City</v>
      </c>
      <c r="E1700" s="1" t="s">
        <v>1565</v>
      </c>
      <c r="F1700" s="1" t="str">
        <f>IFERROR(__xludf.DUMMYFUNCTION("GOOGLETRANSLATE(E1700, ""zh-CN"", ""en"")"),"Langxian County")</f>
        <v>Langxian County</v>
      </c>
      <c r="G1700" s="1">
        <v>5.40426E11</v>
      </c>
    </row>
    <row r="1701">
      <c r="A1701" s="1" t="s">
        <v>1510</v>
      </c>
      <c r="B1701" s="1" t="str">
        <f>IFERROR(__xludf.DUMMYFUNCTION("GOOGLETRANSLATE(A1627, ""zh-CN"", ""en"")"),"Shandong Province")</f>
        <v>Shandong Province</v>
      </c>
      <c r="C1701" s="1" t="s">
        <v>1515</v>
      </c>
      <c r="D1701" s="1" t="str">
        <f>IFERROR(__xludf.DUMMYFUNCTION("GOOGLETRANSLATE(C1701, ""zh-CN"", ""en"")"),"Shannan City")</f>
        <v>Shannan City</v>
      </c>
      <c r="E1701" s="1" t="s">
        <v>24</v>
      </c>
      <c r="F1701" s="1" t="str">
        <f>IFERROR(__xludf.DUMMYFUNCTION("GOOGLETRANSLATE(E1701, ""zh-CN"", ""en"")"),"City area")</f>
        <v>City area</v>
      </c>
      <c r="G1701" s="1">
        <v>5.40501E11</v>
      </c>
    </row>
    <row r="1702">
      <c r="A1702" s="1" t="s">
        <v>1510</v>
      </c>
      <c r="B1702" s="1" t="str">
        <f>IFERROR(__xludf.DUMMYFUNCTION("GOOGLETRANSLATE(A1628, ""zh-CN"", ""en"")"),"Shandong Province")</f>
        <v>Shandong Province</v>
      </c>
      <c r="C1702" s="1" t="s">
        <v>1515</v>
      </c>
      <c r="D1702" s="1" t="str">
        <f>IFERROR(__xludf.DUMMYFUNCTION("GOOGLETRANSLATE(C1702, ""zh-CN"", ""en"")"),"Shannan City")</f>
        <v>Shannan City</v>
      </c>
      <c r="E1702" s="1" t="s">
        <v>1566</v>
      </c>
      <c r="F1702" s="1" t="str">
        <f>IFERROR(__xludf.DUMMYFUNCTION("GOOGLETRANSLATE(E1702, ""zh-CN"", ""en"")"),"Naidong District")</f>
        <v>Naidong District</v>
      </c>
      <c r="G1702" s="1">
        <v>5.40502E11</v>
      </c>
    </row>
    <row r="1703">
      <c r="A1703" s="1" t="s">
        <v>1510</v>
      </c>
      <c r="B1703" s="1" t="str">
        <f>IFERROR(__xludf.DUMMYFUNCTION("GOOGLETRANSLATE(A1629, ""zh-CN"", ""en"")"),"Shandong Province")</f>
        <v>Shandong Province</v>
      </c>
      <c r="C1703" s="1" t="s">
        <v>1515</v>
      </c>
      <c r="D1703" s="1" t="str">
        <f>IFERROR(__xludf.DUMMYFUNCTION("GOOGLETRANSLATE(C1703, ""zh-CN"", ""en"")"),"Shannan City")</f>
        <v>Shannan City</v>
      </c>
      <c r="E1703" s="1" t="s">
        <v>1567</v>
      </c>
      <c r="F1703" s="1" t="str">
        <f>IFERROR(__xludf.DUMMYFUNCTION("GOOGLETRANSLATE(E1703, ""zh-CN"", ""en"")"),"Zhabao County")</f>
        <v>Zhabao County</v>
      </c>
      <c r="G1703" s="1">
        <v>5.40521E11</v>
      </c>
    </row>
    <row r="1704">
      <c r="A1704" s="1" t="s">
        <v>1510</v>
      </c>
      <c r="B1704" s="1" t="str">
        <f>IFERROR(__xludf.DUMMYFUNCTION("GOOGLETRANSLATE(A1630, ""zh-CN"", ""en"")"),"Shandong Province")</f>
        <v>Shandong Province</v>
      </c>
      <c r="C1704" s="1" t="s">
        <v>1515</v>
      </c>
      <c r="D1704" s="1" t="str">
        <f>IFERROR(__xludf.DUMMYFUNCTION("GOOGLETRANSLATE(C1704, ""zh-CN"", ""en"")"),"Shannan City")</f>
        <v>Shannan City</v>
      </c>
      <c r="E1704" s="1" t="s">
        <v>1568</v>
      </c>
      <c r="F1704" s="1" t="str">
        <f>IFERROR(__xludf.DUMMYFUNCTION("GOOGLETRANSLATE(E1704, ""zh-CN"", ""en"")"),"Gongga County")</f>
        <v>Gongga County</v>
      </c>
      <c r="G1704" s="1">
        <v>5.40522E11</v>
      </c>
    </row>
    <row r="1705">
      <c r="A1705" s="1" t="s">
        <v>1510</v>
      </c>
      <c r="B1705" s="1" t="str">
        <f>IFERROR(__xludf.DUMMYFUNCTION("GOOGLETRANSLATE(A1631, ""zh-CN"", ""en"")"),"Shandong Province")</f>
        <v>Shandong Province</v>
      </c>
      <c r="C1705" s="1" t="s">
        <v>1515</v>
      </c>
      <c r="D1705" s="1" t="str">
        <f>IFERROR(__xludf.DUMMYFUNCTION("GOOGLETRANSLATE(C1705, ""zh-CN"", ""en"")"),"Shannan City")</f>
        <v>Shannan City</v>
      </c>
      <c r="E1705" s="1" t="s">
        <v>1569</v>
      </c>
      <c r="F1705" s="1" t="str">
        <f>IFERROR(__xludf.DUMMYFUNCTION("GOOGLETRANSLATE(E1705, ""zh-CN"", ""en"")"),"Sangri County")</f>
        <v>Sangri County</v>
      </c>
      <c r="G1705" s="1">
        <v>5.40523E11</v>
      </c>
    </row>
    <row r="1706">
      <c r="A1706" s="1" t="s">
        <v>1510</v>
      </c>
      <c r="B1706" s="1" t="str">
        <f>IFERROR(__xludf.DUMMYFUNCTION("GOOGLETRANSLATE(A1632, ""zh-CN"", ""en"")"),"Shandong Province")</f>
        <v>Shandong Province</v>
      </c>
      <c r="C1706" s="1" t="s">
        <v>1515</v>
      </c>
      <c r="D1706" s="1" t="str">
        <f>IFERROR(__xludf.DUMMYFUNCTION("GOOGLETRANSLATE(C1706, ""zh-CN"", ""en"")"),"Shannan City")</f>
        <v>Shannan City</v>
      </c>
      <c r="E1706" s="1" t="s">
        <v>1570</v>
      </c>
      <c r="F1706" s="1" t="str">
        <f>IFERROR(__xludf.DUMMYFUNCTION("GOOGLETRANSLATE(E1706, ""zh-CN"", ""en"")"),"Qiongjie County")</f>
        <v>Qiongjie County</v>
      </c>
      <c r="G1706" s="1">
        <v>5.40524E11</v>
      </c>
    </row>
    <row r="1707">
      <c r="A1707" s="1" t="s">
        <v>1510</v>
      </c>
      <c r="B1707" s="1" t="str">
        <f>IFERROR(__xludf.DUMMYFUNCTION("GOOGLETRANSLATE(A1633, ""zh-CN"", ""en"")"),"Shandong Province")</f>
        <v>Shandong Province</v>
      </c>
      <c r="C1707" s="1" t="s">
        <v>1515</v>
      </c>
      <c r="D1707" s="1" t="str">
        <f>IFERROR(__xludf.DUMMYFUNCTION("GOOGLETRANSLATE(C1707, ""zh-CN"", ""en"")"),"Shannan City")</f>
        <v>Shannan City</v>
      </c>
      <c r="E1707" s="1" t="s">
        <v>1571</v>
      </c>
      <c r="F1707" s="1" t="str">
        <f>IFERROR(__xludf.DUMMYFUNCTION("GOOGLETRANSLATE(E1707, ""zh-CN"", ""en"")"),"Qu Song County")</f>
        <v>Qu Song County</v>
      </c>
      <c r="G1707" s="1">
        <v>5.40525E11</v>
      </c>
    </row>
    <row r="1708">
      <c r="A1708" s="1" t="s">
        <v>1510</v>
      </c>
      <c r="B1708" s="1" t="str">
        <f>IFERROR(__xludf.DUMMYFUNCTION("GOOGLETRANSLATE(A1634, ""zh-CN"", ""en"")"),"Shandong Province")</f>
        <v>Shandong Province</v>
      </c>
      <c r="C1708" s="1" t="s">
        <v>1515</v>
      </c>
      <c r="D1708" s="1" t="str">
        <f>IFERROR(__xludf.DUMMYFUNCTION("GOOGLETRANSLATE(C1708, ""zh-CN"", ""en"")"),"Shannan City")</f>
        <v>Shannan City</v>
      </c>
      <c r="E1708" s="1" t="s">
        <v>1572</v>
      </c>
      <c r="F1708" s="1" t="str">
        <f>IFERROR(__xludf.DUMMYFUNCTION("GOOGLETRANSLATE(E1708, ""zh-CN"", ""en"")"),"Gumei County")</f>
        <v>Gumei County</v>
      </c>
      <c r="G1708" s="1">
        <v>5.40526E11</v>
      </c>
    </row>
    <row r="1709">
      <c r="A1709" s="1" t="s">
        <v>1510</v>
      </c>
      <c r="B1709" s="1" t="str">
        <f>IFERROR(__xludf.DUMMYFUNCTION("GOOGLETRANSLATE(A1635, ""zh-CN"", ""en"")"),"Shandong Province")</f>
        <v>Shandong Province</v>
      </c>
      <c r="C1709" s="1" t="s">
        <v>1515</v>
      </c>
      <c r="D1709" s="1" t="str">
        <f>IFERROR(__xludf.DUMMYFUNCTION("GOOGLETRANSLATE(C1709, ""zh-CN"", ""en"")"),"Shannan City")</f>
        <v>Shannan City</v>
      </c>
      <c r="E1709" s="1" t="s">
        <v>1573</v>
      </c>
      <c r="F1709" s="1" t="str">
        <f>IFERROR(__xludf.DUMMYFUNCTION("GOOGLETRANSLATE(E1709, ""zh-CN"", ""en"")"),"Luoza County")</f>
        <v>Luoza County</v>
      </c>
      <c r="G1709" s="1">
        <v>5.40527E11</v>
      </c>
    </row>
    <row r="1710">
      <c r="A1710" s="1" t="s">
        <v>1510</v>
      </c>
      <c r="B1710" s="1" t="str">
        <f>IFERROR(__xludf.DUMMYFUNCTION("GOOGLETRANSLATE(A1636, ""zh-CN"", ""en"")"),"Shandong Province")</f>
        <v>Shandong Province</v>
      </c>
      <c r="C1710" s="1" t="s">
        <v>1515</v>
      </c>
      <c r="D1710" s="1" t="str">
        <f>IFERROR(__xludf.DUMMYFUNCTION("GOOGLETRANSLATE(C1710, ""zh-CN"", ""en"")"),"Shannan City")</f>
        <v>Shannan City</v>
      </c>
      <c r="E1710" s="1" t="s">
        <v>1574</v>
      </c>
      <c r="F1710" s="1" t="str">
        <f>IFERROR(__xludf.DUMMYFUNCTION("GOOGLETRANSLATE(E1710, ""zh-CN"", ""en"")"),"Garcha County")</f>
        <v>Garcha County</v>
      </c>
      <c r="G1710" s="1">
        <v>5.40528E11</v>
      </c>
    </row>
    <row r="1711">
      <c r="A1711" s="1" t="s">
        <v>1510</v>
      </c>
      <c r="B1711" s="1" t="str">
        <f>IFERROR(__xludf.DUMMYFUNCTION("GOOGLETRANSLATE(A1637, ""zh-CN"", ""en"")"),"Shandong Province")</f>
        <v>Shandong Province</v>
      </c>
      <c r="C1711" s="1" t="s">
        <v>1515</v>
      </c>
      <c r="D1711" s="1" t="str">
        <f>IFERROR(__xludf.DUMMYFUNCTION("GOOGLETRANSLATE(C1711, ""zh-CN"", ""en"")"),"Shannan City")</f>
        <v>Shannan City</v>
      </c>
      <c r="E1711" s="1" t="s">
        <v>1575</v>
      </c>
      <c r="F1711" s="1" t="str">
        <f>IFERROR(__xludf.DUMMYFUNCTION("GOOGLETRANSLATE(E1711, ""zh-CN"", ""en"")"),"Longzi County")</f>
        <v>Longzi County</v>
      </c>
      <c r="G1711" s="1">
        <v>5.40529E11</v>
      </c>
    </row>
    <row r="1712">
      <c r="A1712" s="1" t="s">
        <v>1510</v>
      </c>
      <c r="B1712" s="1" t="str">
        <f>IFERROR(__xludf.DUMMYFUNCTION("GOOGLETRANSLATE(A1638, ""zh-CN"", ""en"")"),"Shandong Province")</f>
        <v>Shandong Province</v>
      </c>
      <c r="C1712" s="1" t="s">
        <v>1515</v>
      </c>
      <c r="D1712" s="1" t="str">
        <f>IFERROR(__xludf.DUMMYFUNCTION("GOOGLETRANSLATE(C1712, ""zh-CN"", ""en"")"),"Shannan City")</f>
        <v>Shannan City</v>
      </c>
      <c r="E1712" s="1" t="s">
        <v>1576</v>
      </c>
      <c r="F1712" s="1" t="str">
        <f>IFERROR(__xludf.DUMMYFUNCTION("GOOGLETRANSLATE(E1712, ""zh-CN"", ""en"")"),"Wrong")</f>
        <v>Wrong</v>
      </c>
      <c r="G1712" s="1">
        <v>5.4053E11</v>
      </c>
    </row>
    <row r="1713">
      <c r="A1713" s="1" t="s">
        <v>1510</v>
      </c>
      <c r="B1713" s="1" t="str">
        <f>IFERROR(__xludf.DUMMYFUNCTION("GOOGLETRANSLATE(A1639, ""zh-CN"", ""en"")"),"Shandong Province")</f>
        <v>Shandong Province</v>
      </c>
      <c r="C1713" s="1" t="s">
        <v>1515</v>
      </c>
      <c r="D1713" s="1" t="str">
        <f>IFERROR(__xludf.DUMMYFUNCTION("GOOGLETRANSLATE(C1713, ""zh-CN"", ""en"")"),"Shannan City")</f>
        <v>Shannan City</v>
      </c>
      <c r="E1713" s="1" t="s">
        <v>1577</v>
      </c>
      <c r="F1713" s="1" t="str">
        <f>IFERROR(__xludf.DUMMYFUNCTION("GOOGLETRANSLATE(E1713, ""zh-CN"", ""en"")"),"Langka County")</f>
        <v>Langka County</v>
      </c>
      <c r="G1713" s="1">
        <v>5.40531E11</v>
      </c>
    </row>
    <row r="1714">
      <c r="A1714" s="1" t="s">
        <v>1510</v>
      </c>
      <c r="B1714" s="1" t="str">
        <f>IFERROR(__xludf.DUMMYFUNCTION("GOOGLETRANSLATE(A1640, ""zh-CN"", ""en"")"),"Shandong Province")</f>
        <v>Shandong Province</v>
      </c>
      <c r="C1714" s="1" t="s">
        <v>1516</v>
      </c>
      <c r="D1714" s="1" t="str">
        <f>IFERROR(__xludf.DUMMYFUNCTION("GOOGLETRANSLATE(C1714, ""zh-CN"", ""en"")"),"Naqu City")</f>
        <v>Naqu City</v>
      </c>
      <c r="E1714" s="1" t="s">
        <v>1578</v>
      </c>
      <c r="F1714" s="1" t="str">
        <f>IFERROR(__xludf.DUMMYFUNCTION("GOOGLETRANSLATE(E1714, ""zh-CN"", ""en"")"),"Sar")</f>
        <v>Sar</v>
      </c>
      <c r="G1714" s="1">
        <v>5.40602E11</v>
      </c>
    </row>
    <row r="1715">
      <c r="A1715" s="1" t="s">
        <v>1510</v>
      </c>
      <c r="B1715" s="1" t="str">
        <f>IFERROR(__xludf.DUMMYFUNCTION("GOOGLETRANSLATE(A1641, ""zh-CN"", ""en"")"),"Shandong Province")</f>
        <v>Shandong Province</v>
      </c>
      <c r="C1715" s="1" t="s">
        <v>1516</v>
      </c>
      <c r="D1715" s="1" t="str">
        <f>IFERROR(__xludf.DUMMYFUNCTION("GOOGLETRANSLATE(C1715, ""zh-CN"", ""en"")"),"Naqu City")</f>
        <v>Naqu City</v>
      </c>
      <c r="E1715" s="1" t="s">
        <v>1579</v>
      </c>
      <c r="F1715" s="1" t="str">
        <f>IFERROR(__xludf.DUMMYFUNCTION("GOOGLETRANSLATE(E1715, ""zh-CN"", ""en"")"),"Jiali County")</f>
        <v>Jiali County</v>
      </c>
      <c r="G1715" s="1">
        <v>5.40621E11</v>
      </c>
    </row>
    <row r="1716">
      <c r="A1716" s="1" t="s">
        <v>1510</v>
      </c>
      <c r="B1716" s="1" t="str">
        <f>IFERROR(__xludf.DUMMYFUNCTION("GOOGLETRANSLATE(A1642, ""zh-CN"", ""en"")"),"Shandong Province")</f>
        <v>Shandong Province</v>
      </c>
      <c r="C1716" s="1" t="s">
        <v>1516</v>
      </c>
      <c r="D1716" s="1" t="str">
        <f>IFERROR(__xludf.DUMMYFUNCTION("GOOGLETRANSLATE(C1716, ""zh-CN"", ""en"")"),"Naqu City")</f>
        <v>Naqu City</v>
      </c>
      <c r="E1716" s="1" t="s">
        <v>1580</v>
      </c>
      <c r="F1716" s="1" t="str">
        <f>IFERROR(__xludf.DUMMYFUNCTION("GOOGLETRANSLATE(E1716, ""zh-CN"", ""en"")"),"Such as a county")</f>
        <v>Such as a county</v>
      </c>
      <c r="G1716" s="1">
        <v>5.40622E11</v>
      </c>
    </row>
    <row r="1717">
      <c r="A1717" s="1" t="s">
        <v>1510</v>
      </c>
      <c r="B1717" s="1" t="str">
        <f>IFERROR(__xludf.DUMMYFUNCTION("GOOGLETRANSLATE(A1643, ""zh-CN"", ""en"")"),"Shandong Province")</f>
        <v>Shandong Province</v>
      </c>
      <c r="C1717" s="1" t="s">
        <v>1516</v>
      </c>
      <c r="D1717" s="1" t="str">
        <f>IFERROR(__xludf.DUMMYFUNCTION("GOOGLETRANSLATE(C1717, ""zh-CN"", ""en"")"),"Naqu City")</f>
        <v>Naqu City</v>
      </c>
      <c r="E1717" s="1" t="s">
        <v>1581</v>
      </c>
      <c r="F1717" s="1" t="str">
        <f>IFERROR(__xludf.DUMMYFUNCTION("GOOGLETRANSLATE(E1717, ""zh-CN"", ""en"")"),"Nie Rong County")</f>
        <v>Nie Rong County</v>
      </c>
      <c r="G1717" s="1">
        <v>5.40623E11</v>
      </c>
    </row>
    <row r="1718">
      <c r="A1718" s="1" t="s">
        <v>1510</v>
      </c>
      <c r="B1718" s="1" t="str">
        <f>IFERROR(__xludf.DUMMYFUNCTION("GOOGLETRANSLATE(A1644, ""zh-CN"", ""en"")"),"Tibet Autonomous Region")</f>
        <v>Tibet Autonomous Region</v>
      </c>
      <c r="C1718" s="1" t="s">
        <v>1516</v>
      </c>
      <c r="D1718" s="1" t="str">
        <f>IFERROR(__xludf.DUMMYFUNCTION("GOOGLETRANSLATE(C1718, ""zh-CN"", ""en"")"),"Naqu City")</f>
        <v>Naqu City</v>
      </c>
      <c r="E1718" s="1" t="s">
        <v>1582</v>
      </c>
      <c r="F1718" s="1" t="str">
        <f>IFERROR(__xludf.DUMMYFUNCTION("GOOGLETRANSLATE(E1718, ""zh-CN"", ""en"")"),"Anto County")</f>
        <v>Anto County</v>
      </c>
      <c r="G1718" s="1">
        <v>5.40624E11</v>
      </c>
    </row>
    <row r="1719">
      <c r="A1719" s="1" t="s">
        <v>1510</v>
      </c>
      <c r="B1719" s="1" t="str">
        <f>IFERROR(__xludf.DUMMYFUNCTION("GOOGLETRANSLATE(A1645, ""zh-CN"", ""en"")"),"Tibet Autonomous Region")</f>
        <v>Tibet Autonomous Region</v>
      </c>
      <c r="C1719" s="1" t="s">
        <v>1516</v>
      </c>
      <c r="D1719" s="1" t="str">
        <f>IFERROR(__xludf.DUMMYFUNCTION("GOOGLETRANSLATE(C1719, ""zh-CN"", ""en"")"),"Naqu City")</f>
        <v>Naqu City</v>
      </c>
      <c r="E1719" s="1" t="s">
        <v>1583</v>
      </c>
      <c r="F1719" s="1" t="str">
        <f>IFERROR(__xludf.DUMMYFUNCTION("GOOGLETRANSLATE(E1719, ""zh-CN"", ""en"")"),"Shenza County")</f>
        <v>Shenza County</v>
      </c>
      <c r="G1719" s="1">
        <v>5.40625E11</v>
      </c>
    </row>
    <row r="1720">
      <c r="A1720" s="1" t="s">
        <v>1510</v>
      </c>
      <c r="B1720" s="1" t="str">
        <f>IFERROR(__xludf.DUMMYFUNCTION("GOOGLETRANSLATE(A1646, ""zh-CN"", ""en"")"),"Tibet Autonomous Region")</f>
        <v>Tibet Autonomous Region</v>
      </c>
      <c r="C1720" s="1" t="s">
        <v>1516</v>
      </c>
      <c r="D1720" s="1" t="str">
        <f>IFERROR(__xludf.DUMMYFUNCTION("GOOGLETRANSLATE(C1720, ""zh-CN"", ""en"")"),"Naqu City")</f>
        <v>Naqu City</v>
      </c>
      <c r="E1720" s="1" t="s">
        <v>1584</v>
      </c>
      <c r="F1720" s="1" t="str">
        <f>IFERROR(__xludf.DUMMYFUNCTION("GOOGLETRANSLATE(E1720, ""zh-CN"", ""en"")"),"Suo County")</f>
        <v>Suo County</v>
      </c>
      <c r="G1720" s="1">
        <v>5.40626E11</v>
      </c>
    </row>
    <row r="1721">
      <c r="A1721" s="1" t="s">
        <v>1510</v>
      </c>
      <c r="B1721" s="1" t="str">
        <f>IFERROR(__xludf.DUMMYFUNCTION("GOOGLETRANSLATE(A1647, ""zh-CN"", ""en"")"),"Tibet Autonomous Region")</f>
        <v>Tibet Autonomous Region</v>
      </c>
      <c r="C1721" s="1" t="s">
        <v>1516</v>
      </c>
      <c r="D1721" s="1" t="str">
        <f>IFERROR(__xludf.DUMMYFUNCTION("GOOGLETRANSLATE(C1721, ""zh-CN"", ""en"")"),"Naqu City")</f>
        <v>Naqu City</v>
      </c>
      <c r="E1721" s="1" t="s">
        <v>1585</v>
      </c>
      <c r="F1721" s="1" t="str">
        <f>IFERROR(__xludf.DUMMYFUNCTION("GOOGLETRANSLATE(E1721, ""zh-CN"", ""en"")"),"Bango County")</f>
        <v>Bango County</v>
      </c>
      <c r="G1721" s="1">
        <v>5.40627E11</v>
      </c>
    </row>
    <row r="1722">
      <c r="A1722" s="1" t="s">
        <v>1510</v>
      </c>
      <c r="B1722" s="1" t="str">
        <f>IFERROR(__xludf.DUMMYFUNCTION("GOOGLETRANSLATE(A1648, ""zh-CN"", ""en"")"),"Tibet Autonomous Region")</f>
        <v>Tibet Autonomous Region</v>
      </c>
      <c r="C1722" s="1" t="s">
        <v>1516</v>
      </c>
      <c r="D1722" s="1" t="str">
        <f>IFERROR(__xludf.DUMMYFUNCTION("GOOGLETRANSLATE(C1722, ""zh-CN"", ""en"")"),"Naqu City")</f>
        <v>Naqu City</v>
      </c>
      <c r="E1722" s="1" t="s">
        <v>1586</v>
      </c>
      <c r="F1722" s="1" t="str">
        <f>IFERROR(__xludf.DUMMYFUNCTION("GOOGLETRANSLATE(E1722, ""zh-CN"", ""en"")"),"Baqing County")</f>
        <v>Baqing County</v>
      </c>
      <c r="G1722" s="1">
        <v>5.40628E11</v>
      </c>
    </row>
    <row r="1723">
      <c r="A1723" s="1" t="s">
        <v>1510</v>
      </c>
      <c r="B1723" s="1" t="str">
        <f>IFERROR(__xludf.DUMMYFUNCTION("GOOGLETRANSLATE(A1649, ""zh-CN"", ""en"")"),"Tibet Autonomous Region")</f>
        <v>Tibet Autonomous Region</v>
      </c>
      <c r="C1723" s="1" t="s">
        <v>1516</v>
      </c>
      <c r="D1723" s="1" t="str">
        <f>IFERROR(__xludf.DUMMYFUNCTION("GOOGLETRANSLATE(C1723, ""zh-CN"", ""en"")"),"Naqu City")</f>
        <v>Naqu City</v>
      </c>
      <c r="E1723" s="1" t="s">
        <v>1587</v>
      </c>
      <c r="F1723" s="1" t="str">
        <f>IFERROR(__xludf.DUMMYFUNCTION("GOOGLETRANSLATE(E1723, ""zh-CN"", ""en"")"),"Nima County")</f>
        <v>Nima County</v>
      </c>
      <c r="G1723" s="1">
        <v>5.40629E11</v>
      </c>
    </row>
    <row r="1724">
      <c r="A1724" s="1" t="s">
        <v>1510</v>
      </c>
      <c r="B1724" s="1" t="str">
        <f>IFERROR(__xludf.DUMMYFUNCTION("GOOGLETRANSLATE(A1650, ""zh-CN"", ""en"")"),"Tibet Autonomous Region")</f>
        <v>Tibet Autonomous Region</v>
      </c>
      <c r="C1724" s="1" t="s">
        <v>1516</v>
      </c>
      <c r="D1724" s="1" t="str">
        <f>IFERROR(__xludf.DUMMYFUNCTION("GOOGLETRANSLATE(C1724, ""zh-CN"", ""en"")"),"Naqu City")</f>
        <v>Naqu City</v>
      </c>
      <c r="E1724" s="1" t="s">
        <v>1588</v>
      </c>
      <c r="F1724" s="1" t="str">
        <f>IFERROR(__xludf.DUMMYFUNCTION("GOOGLETRANSLATE(E1724, ""zh-CN"", ""en"")"),"Shuanghu County")</f>
        <v>Shuanghu County</v>
      </c>
      <c r="G1724" s="1">
        <v>5.4063E11</v>
      </c>
    </row>
    <row r="1725">
      <c r="A1725" s="1" t="s">
        <v>1510</v>
      </c>
      <c r="B1725" s="1" t="str">
        <f>IFERROR(__xludf.DUMMYFUNCTION("GOOGLETRANSLATE(A1651, ""zh-CN"", ""en"")"),"Tibet Autonomous Region")</f>
        <v>Tibet Autonomous Region</v>
      </c>
      <c r="C1725" s="1" t="s">
        <v>1517</v>
      </c>
      <c r="D1725" s="1" t="str">
        <f>IFERROR(__xludf.DUMMYFUNCTION("GOOGLETRANSLATE(C1725, ""zh-CN"", ""en"")"),"Ali area")</f>
        <v>Ali area</v>
      </c>
      <c r="E1725" s="1" t="s">
        <v>1589</v>
      </c>
      <c r="F1725" s="1" t="str">
        <f>IFERROR(__xludf.DUMMYFUNCTION("GOOGLETRANSLATE(E1725, ""zh-CN"", ""en"")"),"Pulandian County")</f>
        <v>Pulandian County</v>
      </c>
      <c r="G1725" s="1">
        <v>5.42521E11</v>
      </c>
    </row>
    <row r="1726">
      <c r="A1726" s="1" t="s">
        <v>1510</v>
      </c>
      <c r="B1726" s="1" t="str">
        <f>IFERROR(__xludf.DUMMYFUNCTION("GOOGLETRANSLATE(A1652, ""zh-CN"", ""en"")"),"Tibet Autonomous Region")</f>
        <v>Tibet Autonomous Region</v>
      </c>
      <c r="C1726" s="1" t="s">
        <v>1517</v>
      </c>
      <c r="D1726" s="1" t="str">
        <f>IFERROR(__xludf.DUMMYFUNCTION("GOOGLETRANSLATE(C1726, ""zh-CN"", ""en"")"),"Ali area")</f>
        <v>Ali area</v>
      </c>
      <c r="E1726" s="1" t="s">
        <v>1590</v>
      </c>
      <c r="F1726" s="1" t="str">
        <f>IFERROR(__xludf.DUMMYFUNCTION("GOOGLETRANSLATE(E1726, ""zh-CN"", ""en"")"),"Zada County")</f>
        <v>Zada County</v>
      </c>
      <c r="G1726" s="1">
        <v>5.42522E11</v>
      </c>
    </row>
    <row r="1727">
      <c r="A1727" s="1" t="s">
        <v>1510</v>
      </c>
      <c r="B1727" s="1" t="str">
        <f>IFERROR(__xludf.DUMMYFUNCTION("GOOGLETRANSLATE(A1653, ""zh-CN"", ""en"")"),"Tibet Autonomous Region")</f>
        <v>Tibet Autonomous Region</v>
      </c>
      <c r="C1727" s="1" t="s">
        <v>1517</v>
      </c>
      <c r="D1727" s="1" t="str">
        <f>IFERROR(__xludf.DUMMYFUNCTION("GOOGLETRANSLATE(C1727, ""zh-CN"", ""en"")"),"Ali area")</f>
        <v>Ali area</v>
      </c>
      <c r="E1727" s="1" t="s">
        <v>1591</v>
      </c>
      <c r="F1727" s="1" t="str">
        <f>IFERROR(__xludf.DUMMYFUNCTION("GOOGLETRANSLATE(E1727, ""zh-CN"", ""en"")"),"Gal County")</f>
        <v>Gal County</v>
      </c>
      <c r="G1727" s="1">
        <v>5.42523E11</v>
      </c>
    </row>
    <row r="1728">
      <c r="A1728" s="1" t="s">
        <v>1510</v>
      </c>
      <c r="B1728" s="1" t="str">
        <f>IFERROR(__xludf.DUMMYFUNCTION("GOOGLETRANSLATE(A1654, ""zh-CN"", ""en"")"),"Tibet Autonomous Region")</f>
        <v>Tibet Autonomous Region</v>
      </c>
      <c r="C1728" s="1" t="s">
        <v>1517</v>
      </c>
      <c r="D1728" s="1" t="str">
        <f>IFERROR(__xludf.DUMMYFUNCTION("GOOGLETRANSLATE(C1728, ""zh-CN"", ""en"")"),"Ali area")</f>
        <v>Ali area</v>
      </c>
      <c r="E1728" s="1" t="s">
        <v>1592</v>
      </c>
      <c r="F1728" s="1" t="str">
        <f>IFERROR(__xludf.DUMMYFUNCTION("GOOGLETRANSLATE(E1728, ""zh-CN"", ""en"")"),"Rita County")</f>
        <v>Rita County</v>
      </c>
      <c r="G1728" s="1">
        <v>5.42524E11</v>
      </c>
    </row>
    <row r="1729">
      <c r="A1729" s="1" t="s">
        <v>1510</v>
      </c>
      <c r="B1729" s="1" t="str">
        <f>IFERROR(__xludf.DUMMYFUNCTION("GOOGLETRANSLATE(A1655, ""zh-CN"", ""en"")"),"Tibet Autonomous Region")</f>
        <v>Tibet Autonomous Region</v>
      </c>
      <c r="C1729" s="1" t="s">
        <v>1517</v>
      </c>
      <c r="D1729" s="1" t="str">
        <f>IFERROR(__xludf.DUMMYFUNCTION("GOOGLETRANSLATE(C1729, ""zh-CN"", ""en"")"),"Ali area")</f>
        <v>Ali area</v>
      </c>
      <c r="E1729" s="1" t="s">
        <v>1593</v>
      </c>
      <c r="F1729" s="1" t="str">
        <f>IFERROR(__xludf.DUMMYFUNCTION("GOOGLETRANSLATE(E1729, ""zh-CN"", ""en"")"),"Geji County")</f>
        <v>Geji County</v>
      </c>
      <c r="G1729" s="1">
        <v>5.42525E11</v>
      </c>
    </row>
    <row r="1730">
      <c r="A1730" s="1" t="s">
        <v>1510</v>
      </c>
      <c r="B1730" s="1" t="str">
        <f>IFERROR(__xludf.DUMMYFUNCTION("GOOGLETRANSLATE(A1656, ""zh-CN"", ""en"")"),"Tibet Autonomous Region")</f>
        <v>Tibet Autonomous Region</v>
      </c>
      <c r="C1730" s="1" t="s">
        <v>1517</v>
      </c>
      <c r="D1730" s="1" t="str">
        <f>IFERROR(__xludf.DUMMYFUNCTION("GOOGLETRANSLATE(C1730, ""zh-CN"", ""en"")"),"Ali area")</f>
        <v>Ali area</v>
      </c>
      <c r="E1730" s="1" t="s">
        <v>1594</v>
      </c>
      <c r="F1730" s="1" t="str">
        <f>IFERROR(__xludf.DUMMYFUNCTION("GOOGLETRANSLATE(E1730, ""zh-CN"", ""en"")"),"Reform the county")</f>
        <v>Reform the county</v>
      </c>
      <c r="G1730" s="1">
        <v>5.42526E11</v>
      </c>
    </row>
    <row r="1731">
      <c r="A1731" s="1" t="s">
        <v>1510</v>
      </c>
      <c r="B1731" s="1" t="str">
        <f>IFERROR(__xludf.DUMMYFUNCTION("GOOGLETRANSLATE(A1657, ""zh-CN"", ""en"")"),"Tibet Autonomous Region")</f>
        <v>Tibet Autonomous Region</v>
      </c>
      <c r="C1731" s="1" t="s">
        <v>1517</v>
      </c>
      <c r="D1731" s="1" t="str">
        <f>IFERROR(__xludf.DUMMYFUNCTION("GOOGLETRANSLATE(C1731, ""zh-CN"", ""en"")"),"Ali area")</f>
        <v>Ali area</v>
      </c>
      <c r="E1731" s="1" t="s">
        <v>1595</v>
      </c>
      <c r="F1731" s="1" t="str">
        <f>IFERROR(__xludf.DUMMYFUNCTION("GOOGLETRANSLATE(E1731, ""zh-CN"", ""en"")"),"Guoqin County")</f>
        <v>Guoqin County</v>
      </c>
      <c r="G1731" s="1">
        <v>5.42527E11</v>
      </c>
    </row>
    <row r="1732">
      <c r="A1732" s="1" t="s">
        <v>1596</v>
      </c>
      <c r="B1732" s="1" t="str">
        <f>IFERROR(__xludf.DUMMYFUNCTION("GOOGLETRANSLATE(A1658, ""zh-CN"", ""en"")"),"Tibet Autonomous Region")</f>
        <v>Tibet Autonomous Region</v>
      </c>
      <c r="C1732" s="1" t="s">
        <v>8</v>
      </c>
      <c r="D1732" s="1" t="str">
        <f>IFERROR(__xludf.DUMMYFUNCTION("GOOGLETRANSLATE(C1732, ""zh-CN"", ""en"")"),"Na")</f>
        <v>Na</v>
      </c>
      <c r="E1732" s="1" t="s">
        <v>8</v>
      </c>
      <c r="F1732" s="1" t="str">
        <f>IFERROR(__xludf.DUMMYFUNCTION("GOOGLETRANSLATE(E1732, ""zh-CN"", ""en"")"),"Na")</f>
        <v>Na</v>
      </c>
      <c r="G1732" s="1">
        <v>52.0</v>
      </c>
    </row>
    <row r="1733">
      <c r="A1733" s="1" t="s">
        <v>1596</v>
      </c>
      <c r="B1733" s="1" t="str">
        <f>IFERROR(__xludf.DUMMYFUNCTION("GOOGLETRANSLATE(A1659, ""zh-CN"", ""en"")"),"Tibet Autonomous Region")</f>
        <v>Tibet Autonomous Region</v>
      </c>
      <c r="C1733" s="1" t="s">
        <v>1597</v>
      </c>
      <c r="D1733" s="1" t="str">
        <f>IFERROR(__xludf.DUMMYFUNCTION("GOOGLETRANSLATE(C1733, ""zh-CN"", ""en"")"),"Guiyang City")</f>
        <v>Guiyang City</v>
      </c>
      <c r="E1733" s="1" t="s">
        <v>8</v>
      </c>
      <c r="F1733" s="1" t="str">
        <f>IFERROR(__xludf.DUMMYFUNCTION("GOOGLETRANSLATE(E1733, ""zh-CN"", ""en"")"),"Na")</f>
        <v>Na</v>
      </c>
      <c r="G1733" s="1">
        <v>5.201E11</v>
      </c>
    </row>
    <row r="1734">
      <c r="A1734" s="1" t="s">
        <v>1596</v>
      </c>
      <c r="B1734" s="1" t="str">
        <f>IFERROR(__xludf.DUMMYFUNCTION("GOOGLETRANSLATE(A1660, ""zh-CN"", ""en"")"),"Tibet Autonomous Region")</f>
        <v>Tibet Autonomous Region</v>
      </c>
      <c r="C1734" s="1" t="s">
        <v>1598</v>
      </c>
      <c r="D1734" s="1" t="str">
        <f>IFERROR(__xludf.DUMMYFUNCTION("GOOGLETRANSLATE(C1734, ""zh-CN"", ""en"")"),"Liupan Water Market")</f>
        <v>Liupan Water Market</v>
      </c>
      <c r="E1734" s="1" t="s">
        <v>8</v>
      </c>
      <c r="F1734" s="1" t="str">
        <f>IFERROR(__xludf.DUMMYFUNCTION("GOOGLETRANSLATE(E1734, ""zh-CN"", ""en"")"),"Na")</f>
        <v>Na</v>
      </c>
      <c r="G1734" s="1">
        <v>5.202E11</v>
      </c>
    </row>
    <row r="1735">
      <c r="A1735" s="1" t="s">
        <v>1596</v>
      </c>
      <c r="B1735" s="1" t="str">
        <f>IFERROR(__xludf.DUMMYFUNCTION("GOOGLETRANSLATE(A1661, ""zh-CN"", ""en"")"),"Tibet Autonomous Region")</f>
        <v>Tibet Autonomous Region</v>
      </c>
      <c r="C1735" s="1" t="s">
        <v>1599</v>
      </c>
      <c r="D1735" s="1" t="str">
        <f>IFERROR(__xludf.DUMMYFUNCTION("GOOGLETRANSLATE(C1735, ""zh-CN"", ""en"")"),"Zunyi City")</f>
        <v>Zunyi City</v>
      </c>
      <c r="E1735" s="1" t="s">
        <v>8</v>
      </c>
      <c r="F1735" s="1" t="str">
        <f>IFERROR(__xludf.DUMMYFUNCTION("GOOGLETRANSLATE(E1735, ""zh-CN"", ""en"")"),"Na")</f>
        <v>Na</v>
      </c>
      <c r="G1735" s="1">
        <v>5.203E11</v>
      </c>
    </row>
    <row r="1736">
      <c r="A1736" s="1" t="s">
        <v>1596</v>
      </c>
      <c r="B1736" s="1" t="str">
        <f>IFERROR(__xludf.DUMMYFUNCTION("GOOGLETRANSLATE(A1662, ""zh-CN"", ""en"")"),"Tibet Autonomous Region")</f>
        <v>Tibet Autonomous Region</v>
      </c>
      <c r="C1736" s="1" t="s">
        <v>1600</v>
      </c>
      <c r="D1736" s="1" t="str">
        <f>IFERROR(__xludf.DUMMYFUNCTION("GOOGLETRANSLATE(C1736, ""zh-CN"", ""en"")"),"Anshun City")</f>
        <v>Anshun City</v>
      </c>
      <c r="E1736" s="1" t="s">
        <v>8</v>
      </c>
      <c r="F1736" s="1" t="str">
        <f>IFERROR(__xludf.DUMMYFUNCTION("GOOGLETRANSLATE(E1736, ""zh-CN"", ""en"")"),"Na")</f>
        <v>Na</v>
      </c>
      <c r="G1736" s="1">
        <v>5.204E11</v>
      </c>
    </row>
    <row r="1737">
      <c r="A1737" s="1" t="s">
        <v>1596</v>
      </c>
      <c r="B1737" s="1" t="str">
        <f>IFERROR(__xludf.DUMMYFUNCTION("GOOGLETRANSLATE(A1663, ""zh-CN"", ""en"")"),"Tibet Autonomous Region")</f>
        <v>Tibet Autonomous Region</v>
      </c>
      <c r="C1737" s="1" t="s">
        <v>1601</v>
      </c>
      <c r="D1737" s="1" t="str">
        <f>IFERROR(__xludf.DUMMYFUNCTION("GOOGLETRANSLATE(C1737, ""zh-CN"", ""en"")"),"Bijie City")</f>
        <v>Bijie City</v>
      </c>
      <c r="E1737" s="1" t="s">
        <v>8</v>
      </c>
      <c r="F1737" s="1" t="str">
        <f>IFERROR(__xludf.DUMMYFUNCTION("GOOGLETRANSLATE(E1737, ""zh-CN"", ""en"")"),"Na")</f>
        <v>Na</v>
      </c>
      <c r="G1737" s="1">
        <v>5.205E11</v>
      </c>
    </row>
    <row r="1738">
      <c r="A1738" s="1" t="s">
        <v>1596</v>
      </c>
      <c r="B1738" s="1" t="str">
        <f>IFERROR(__xludf.DUMMYFUNCTION("GOOGLETRANSLATE(A1664, ""zh-CN"", ""en"")"),"Tibet Autonomous Region")</f>
        <v>Tibet Autonomous Region</v>
      </c>
      <c r="C1738" s="1" t="s">
        <v>1602</v>
      </c>
      <c r="D1738" s="1" t="str">
        <f>IFERROR(__xludf.DUMMYFUNCTION("GOOGLETRANSLATE(C1738, ""zh-CN"", ""en"")"),"Tongren City")</f>
        <v>Tongren City</v>
      </c>
      <c r="E1738" s="1" t="s">
        <v>8</v>
      </c>
      <c r="F1738" s="1" t="str">
        <f>IFERROR(__xludf.DUMMYFUNCTION("GOOGLETRANSLATE(E1738, ""zh-CN"", ""en"")"),"Na")</f>
        <v>Na</v>
      </c>
      <c r="G1738" s="1">
        <v>5.206E11</v>
      </c>
    </row>
    <row r="1739">
      <c r="A1739" s="1" t="s">
        <v>1596</v>
      </c>
      <c r="B1739" s="1" t="str">
        <f>IFERROR(__xludf.DUMMYFUNCTION("GOOGLETRANSLATE(A1665, ""zh-CN"", ""en"")"),"Tibet Autonomous Region")</f>
        <v>Tibet Autonomous Region</v>
      </c>
      <c r="C1739" s="1" t="s">
        <v>1603</v>
      </c>
      <c r="D1739" s="1" t="str">
        <f>IFERROR(__xludf.DUMMYFUNCTION("GOOGLETRANSLATE(C1739, ""zh-CN"", ""en"")"),"Southwest Guizhou Buyi Miao Autonomous Prefecture")</f>
        <v>Southwest Guizhou Buyi Miao Autonomous Prefecture</v>
      </c>
      <c r="E1739" s="1" t="s">
        <v>8</v>
      </c>
      <c r="F1739" s="1" t="str">
        <f>IFERROR(__xludf.DUMMYFUNCTION("GOOGLETRANSLATE(E1739, ""zh-CN"", ""en"")"),"Na")</f>
        <v>Na</v>
      </c>
      <c r="G1739" s="1">
        <v>5.223E11</v>
      </c>
    </row>
    <row r="1740">
      <c r="A1740" s="1" t="s">
        <v>1596</v>
      </c>
      <c r="B1740" s="1" t="str">
        <f>IFERROR(__xludf.DUMMYFUNCTION("GOOGLETRANSLATE(A1666, ""zh-CN"", ""en"")"),"Tibet Autonomous Region")</f>
        <v>Tibet Autonomous Region</v>
      </c>
      <c r="C1740" s="1" t="s">
        <v>1604</v>
      </c>
      <c r="D1740" s="1" t="str">
        <f>IFERROR(__xludf.DUMMYFUNCTION("GOOGLETRANSLATE(C1740, ""zh-CN"", ""en"")"),"Southeast Guizhou Miao and Dai Autonomous Prefecture")</f>
        <v>Southeast Guizhou Miao and Dai Autonomous Prefecture</v>
      </c>
      <c r="E1740" s="1" t="s">
        <v>8</v>
      </c>
      <c r="F1740" s="1" t="str">
        <f>IFERROR(__xludf.DUMMYFUNCTION("GOOGLETRANSLATE(E1740, ""zh-CN"", ""en"")"),"Na")</f>
        <v>Na</v>
      </c>
      <c r="G1740" s="1">
        <v>5.226E11</v>
      </c>
    </row>
    <row r="1741">
      <c r="A1741" s="1" t="s">
        <v>1596</v>
      </c>
      <c r="B1741" s="1" t="str">
        <f>IFERROR(__xludf.DUMMYFUNCTION("GOOGLETRANSLATE(A1667, ""zh-CN"", ""en"")"),"Tibet Autonomous Region")</f>
        <v>Tibet Autonomous Region</v>
      </c>
      <c r="C1741" s="1" t="s">
        <v>1605</v>
      </c>
      <c r="D1741" s="1" t="str">
        <f>IFERROR(__xludf.DUMMYFUNCTION("GOOGLETRANSLATE(C1741, ""zh-CN"", ""en"")"),"Qiannan Buyi Miao Autonomous Prefecture")</f>
        <v>Qiannan Buyi Miao Autonomous Prefecture</v>
      </c>
      <c r="E1741" s="1" t="s">
        <v>8</v>
      </c>
      <c r="F1741" s="1" t="str">
        <f>IFERROR(__xludf.DUMMYFUNCTION("GOOGLETRANSLATE(E1741, ""zh-CN"", ""en"")"),"Na")</f>
        <v>Na</v>
      </c>
      <c r="G1741" s="1">
        <v>5.227E11</v>
      </c>
    </row>
    <row r="1742">
      <c r="A1742" s="1" t="s">
        <v>1596</v>
      </c>
      <c r="B1742" s="1" t="str">
        <f>IFERROR(__xludf.DUMMYFUNCTION("GOOGLETRANSLATE(A1668, ""zh-CN"", ""en"")"),"Tibet Autonomous Region")</f>
        <v>Tibet Autonomous Region</v>
      </c>
      <c r="C1742" s="1" t="s">
        <v>1597</v>
      </c>
      <c r="D1742" s="1" t="str">
        <f>IFERROR(__xludf.DUMMYFUNCTION("GOOGLETRANSLATE(C1742, ""zh-CN"", ""en"")"),"Guiyang City")</f>
        <v>Guiyang City</v>
      </c>
      <c r="E1742" s="1" t="s">
        <v>24</v>
      </c>
      <c r="F1742" s="1" t="str">
        <f>IFERROR(__xludf.DUMMYFUNCTION("GOOGLETRANSLATE(E1742, ""zh-CN"", ""en"")"),"City area")</f>
        <v>City area</v>
      </c>
      <c r="G1742" s="1">
        <v>5.20101E11</v>
      </c>
    </row>
    <row r="1743">
      <c r="A1743" s="1" t="s">
        <v>1596</v>
      </c>
      <c r="B1743" s="1" t="str">
        <f>IFERROR(__xludf.DUMMYFUNCTION("GOOGLETRANSLATE(A1669, ""zh-CN"", ""en"")"),"Tibet Autonomous Region")</f>
        <v>Tibet Autonomous Region</v>
      </c>
      <c r="C1743" s="1" t="s">
        <v>1597</v>
      </c>
      <c r="D1743" s="1" t="str">
        <f>IFERROR(__xludf.DUMMYFUNCTION("GOOGLETRANSLATE(C1743, ""zh-CN"", ""en"")"),"Guiyang City")</f>
        <v>Guiyang City</v>
      </c>
      <c r="E1743" s="1" t="s">
        <v>1606</v>
      </c>
      <c r="F1743" s="1" t="str">
        <f>IFERROR(__xludf.DUMMYFUNCTION("GOOGLETRANSLATE(E1743, ""zh-CN"", ""en"")"),"Nanming District")</f>
        <v>Nanming District</v>
      </c>
      <c r="G1743" s="1">
        <v>5.20102E11</v>
      </c>
    </row>
    <row r="1744">
      <c r="A1744" s="1" t="s">
        <v>1596</v>
      </c>
      <c r="B1744" s="1" t="str">
        <f>IFERROR(__xludf.DUMMYFUNCTION("GOOGLETRANSLATE(A1670, ""zh-CN"", ""en"")"),"Tibet Autonomous Region")</f>
        <v>Tibet Autonomous Region</v>
      </c>
      <c r="C1744" s="1" t="s">
        <v>1597</v>
      </c>
      <c r="D1744" s="1" t="str">
        <f>IFERROR(__xludf.DUMMYFUNCTION("GOOGLETRANSLATE(C1744, ""zh-CN"", ""en"")"),"Guiyang City")</f>
        <v>Guiyang City</v>
      </c>
      <c r="E1744" s="1" t="s">
        <v>1607</v>
      </c>
      <c r="F1744" s="1" t="str">
        <f>IFERROR(__xludf.DUMMYFUNCTION("GOOGLETRANSLATE(E1744, ""zh-CN"", ""en"")"),"Yunyan District")</f>
        <v>Yunyan District</v>
      </c>
      <c r="G1744" s="1">
        <v>5.20103E11</v>
      </c>
    </row>
    <row r="1745">
      <c r="A1745" s="1" t="s">
        <v>1596</v>
      </c>
      <c r="B1745" s="1" t="str">
        <f>IFERROR(__xludf.DUMMYFUNCTION("GOOGLETRANSLATE(A1671, ""zh-CN"", ""en"")"),"Tibet Autonomous Region")</f>
        <v>Tibet Autonomous Region</v>
      </c>
      <c r="C1745" s="1" t="s">
        <v>1597</v>
      </c>
      <c r="D1745" s="1" t="str">
        <f>IFERROR(__xludf.DUMMYFUNCTION("GOOGLETRANSLATE(C1745, ""zh-CN"", ""en"")"),"Guiyang City")</f>
        <v>Guiyang City</v>
      </c>
      <c r="E1745" s="1" t="s">
        <v>1608</v>
      </c>
      <c r="F1745" s="1" t="str">
        <f>IFERROR(__xludf.DUMMYFUNCTION("GOOGLETRANSLATE(E1745, ""zh-CN"", ""en"")"),"Huaxi District")</f>
        <v>Huaxi District</v>
      </c>
      <c r="G1745" s="1">
        <v>5.20111E11</v>
      </c>
    </row>
    <row r="1746">
      <c r="A1746" s="1" t="s">
        <v>1596</v>
      </c>
      <c r="B1746" s="1" t="str">
        <f>IFERROR(__xludf.DUMMYFUNCTION("GOOGLETRANSLATE(A1672, ""zh-CN"", ""en"")"),"Tibet Autonomous Region")</f>
        <v>Tibet Autonomous Region</v>
      </c>
      <c r="C1746" s="1" t="s">
        <v>1597</v>
      </c>
      <c r="D1746" s="1" t="str">
        <f>IFERROR(__xludf.DUMMYFUNCTION("GOOGLETRANSLATE(C1746, ""zh-CN"", ""en"")"),"Guiyang City")</f>
        <v>Guiyang City</v>
      </c>
      <c r="E1746" s="1" t="s">
        <v>1609</v>
      </c>
      <c r="F1746" s="1" t="str">
        <f>IFERROR(__xludf.DUMMYFUNCTION("GOOGLETRANSLATE(E1746, ""zh-CN"", ""en"")"),"Wu Dang District")</f>
        <v>Wu Dang District</v>
      </c>
      <c r="G1746" s="1">
        <v>5.20112E11</v>
      </c>
    </row>
    <row r="1747">
      <c r="A1747" s="1" t="s">
        <v>1596</v>
      </c>
      <c r="B1747" s="1" t="str">
        <f>IFERROR(__xludf.DUMMYFUNCTION("GOOGLETRANSLATE(A1673, ""zh-CN"", ""en"")"),"Tibet Autonomous Region")</f>
        <v>Tibet Autonomous Region</v>
      </c>
      <c r="C1747" s="1" t="s">
        <v>1597</v>
      </c>
      <c r="D1747" s="1" t="str">
        <f>IFERROR(__xludf.DUMMYFUNCTION("GOOGLETRANSLATE(C1747, ""zh-CN"", ""en"")"),"Guiyang City")</f>
        <v>Guiyang City</v>
      </c>
      <c r="E1747" s="1" t="s">
        <v>749</v>
      </c>
      <c r="F1747" s="1" t="str">
        <f>IFERROR(__xludf.DUMMYFUNCTION("GOOGLETRANSLATE(E1747, ""zh-CN"", ""en"")"),"Baiyun District")</f>
        <v>Baiyun District</v>
      </c>
      <c r="G1747" s="1">
        <v>5.20113E11</v>
      </c>
    </row>
    <row r="1748">
      <c r="A1748" s="1" t="s">
        <v>1596</v>
      </c>
      <c r="B1748" s="1" t="str">
        <f>IFERROR(__xludf.DUMMYFUNCTION("GOOGLETRANSLATE(A1674, ""zh-CN"", ""en"")"),"Tibet Autonomous Region")</f>
        <v>Tibet Autonomous Region</v>
      </c>
      <c r="C1748" s="1" t="s">
        <v>1597</v>
      </c>
      <c r="D1748" s="1" t="str">
        <f>IFERROR(__xludf.DUMMYFUNCTION("GOOGLETRANSLATE(C1748, ""zh-CN"", ""en"")"),"Guiyang City")</f>
        <v>Guiyang City</v>
      </c>
      <c r="E1748" s="1" t="s">
        <v>1610</v>
      </c>
      <c r="F1748" s="1" t="str">
        <f>IFERROR(__xludf.DUMMYFUNCTION("GOOGLETRANSLATE(E1748, ""zh-CN"", ""en"")"),"Guanshan Lake District")</f>
        <v>Guanshan Lake District</v>
      </c>
      <c r="G1748" s="1">
        <v>5.20115E11</v>
      </c>
    </row>
    <row r="1749">
      <c r="A1749" s="1" t="s">
        <v>1596</v>
      </c>
      <c r="B1749" s="1" t="str">
        <f>IFERROR(__xludf.DUMMYFUNCTION("GOOGLETRANSLATE(A1675, ""zh-CN"", ""en"")"),"Tibet Autonomous Region")</f>
        <v>Tibet Autonomous Region</v>
      </c>
      <c r="C1749" s="1" t="s">
        <v>1597</v>
      </c>
      <c r="D1749" s="1" t="str">
        <f>IFERROR(__xludf.DUMMYFUNCTION("GOOGLETRANSLATE(C1749, ""zh-CN"", ""en"")"),"Guiyang City")</f>
        <v>Guiyang City</v>
      </c>
      <c r="E1749" s="1" t="s">
        <v>1611</v>
      </c>
      <c r="F1749" s="1" t="str">
        <f>IFERROR(__xludf.DUMMYFUNCTION("GOOGLETRANSLATE(E1749, ""zh-CN"", ""en"")"),"Kaiyang County")</f>
        <v>Kaiyang County</v>
      </c>
      <c r="G1749" s="1">
        <v>5.20121E11</v>
      </c>
    </row>
    <row r="1750">
      <c r="A1750" s="1" t="s">
        <v>1596</v>
      </c>
      <c r="B1750" s="1" t="str">
        <f>IFERROR(__xludf.DUMMYFUNCTION("GOOGLETRANSLATE(A1676, ""zh-CN"", ""en"")"),"Tibet Autonomous Region")</f>
        <v>Tibet Autonomous Region</v>
      </c>
      <c r="C1750" s="1" t="s">
        <v>1597</v>
      </c>
      <c r="D1750" s="1" t="str">
        <f>IFERROR(__xludf.DUMMYFUNCTION("GOOGLETRANSLATE(C1750, ""zh-CN"", ""en"")"),"Guiyang City")</f>
        <v>Guiyang City</v>
      </c>
      <c r="E1750" s="1" t="s">
        <v>1612</v>
      </c>
      <c r="F1750" s="1" t="str">
        <f>IFERROR(__xludf.DUMMYFUNCTION("GOOGLETRANSLATE(E1750, ""zh-CN"", ""en"")"),"Xixian County")</f>
        <v>Xixian County</v>
      </c>
      <c r="G1750" s="1">
        <v>5.20122E11</v>
      </c>
    </row>
    <row r="1751">
      <c r="A1751" s="1" t="s">
        <v>1596</v>
      </c>
      <c r="B1751" s="1" t="str">
        <f>IFERROR(__xludf.DUMMYFUNCTION("GOOGLETRANSLATE(A1677, ""zh-CN"", ""en"")"),"Tibet Autonomous Region")</f>
        <v>Tibet Autonomous Region</v>
      </c>
      <c r="C1751" s="1" t="s">
        <v>1597</v>
      </c>
      <c r="D1751" s="1" t="str">
        <f>IFERROR(__xludf.DUMMYFUNCTION("GOOGLETRANSLATE(C1751, ""zh-CN"", ""en"")"),"Guiyang City")</f>
        <v>Guiyang City</v>
      </c>
      <c r="E1751" s="1" t="s">
        <v>1613</v>
      </c>
      <c r="F1751" s="1" t="str">
        <f>IFERROR(__xludf.DUMMYFUNCTION("GOOGLETRANSLATE(E1751, ""zh-CN"", ""en"")"),"Xiuwen County")</f>
        <v>Xiuwen County</v>
      </c>
      <c r="G1751" s="1">
        <v>5.20123E11</v>
      </c>
    </row>
    <row r="1752">
      <c r="A1752" s="1" t="s">
        <v>1596</v>
      </c>
      <c r="B1752" s="1" t="str">
        <f>IFERROR(__xludf.DUMMYFUNCTION("GOOGLETRANSLATE(A1678, ""zh-CN"", ""en"")"),"Tibet Autonomous Region")</f>
        <v>Tibet Autonomous Region</v>
      </c>
      <c r="C1752" s="1" t="s">
        <v>1597</v>
      </c>
      <c r="D1752" s="1" t="str">
        <f>IFERROR(__xludf.DUMMYFUNCTION("GOOGLETRANSLATE(C1752, ""zh-CN"", ""en"")"),"Guiyang City")</f>
        <v>Guiyang City</v>
      </c>
      <c r="E1752" s="1" t="s">
        <v>1614</v>
      </c>
      <c r="F1752" s="1" t="str">
        <f>IFERROR(__xludf.DUMMYFUNCTION("GOOGLETRANSLATE(E1752, ""zh-CN"", ""en"")"),"Qingzhen City")</f>
        <v>Qingzhen City</v>
      </c>
      <c r="G1752" s="1">
        <v>5.20181E11</v>
      </c>
    </row>
    <row r="1753">
      <c r="A1753" s="1" t="s">
        <v>1596</v>
      </c>
      <c r="B1753" s="1" t="str">
        <f>IFERROR(__xludf.DUMMYFUNCTION("GOOGLETRANSLATE(A1679, ""zh-CN"", ""en"")"),"Tibet Autonomous Region")</f>
        <v>Tibet Autonomous Region</v>
      </c>
      <c r="C1753" s="1" t="s">
        <v>1598</v>
      </c>
      <c r="D1753" s="1" t="str">
        <f>IFERROR(__xludf.DUMMYFUNCTION("GOOGLETRANSLATE(C1753, ""zh-CN"", ""en"")"),"Liupan Water Market")</f>
        <v>Liupan Water Market</v>
      </c>
      <c r="E1753" s="1" t="s">
        <v>1615</v>
      </c>
      <c r="F1753" s="1" t="str">
        <f>IFERROR(__xludf.DUMMYFUNCTION("GOOGLETRANSLATE(E1753, ""zh-CN"", ""en"")"),"Zhongshan District")</f>
        <v>Zhongshan District</v>
      </c>
      <c r="G1753" s="1">
        <v>5.20201E11</v>
      </c>
    </row>
    <row r="1754">
      <c r="A1754" s="1" t="s">
        <v>1596</v>
      </c>
      <c r="B1754" s="1" t="str">
        <f>IFERROR(__xludf.DUMMYFUNCTION("GOOGLETRANSLATE(A1680, ""zh-CN"", ""en"")"),"Tibet Autonomous Region")</f>
        <v>Tibet Autonomous Region</v>
      </c>
      <c r="C1754" s="1" t="s">
        <v>1598</v>
      </c>
      <c r="D1754" s="1" t="str">
        <f>IFERROR(__xludf.DUMMYFUNCTION("GOOGLETRANSLATE(C1754, ""zh-CN"", ""en"")"),"Liupan Water Market")</f>
        <v>Liupan Water Market</v>
      </c>
      <c r="E1754" s="1" t="s">
        <v>1616</v>
      </c>
      <c r="F1754" s="1" t="str">
        <f>IFERROR(__xludf.DUMMYFUNCTION("GOOGLETRANSLATE(E1754, ""zh-CN"", ""en"")"),"Liuzhi Special Economic Zone")</f>
        <v>Liuzhi Special Economic Zone</v>
      </c>
      <c r="G1754" s="1">
        <v>5.20203E11</v>
      </c>
    </row>
    <row r="1755">
      <c r="A1755" s="1" t="s">
        <v>1596</v>
      </c>
      <c r="B1755" s="1" t="str">
        <f>IFERROR(__xludf.DUMMYFUNCTION("GOOGLETRANSLATE(A1681, ""zh-CN"", ""en"")"),"Tibet Autonomous Region")</f>
        <v>Tibet Autonomous Region</v>
      </c>
      <c r="C1755" s="1" t="s">
        <v>1598</v>
      </c>
      <c r="D1755" s="1" t="str">
        <f>IFERROR(__xludf.DUMMYFUNCTION("GOOGLETRANSLATE(C1755, ""zh-CN"", ""en"")"),"Liupan Water Market")</f>
        <v>Liupan Water Market</v>
      </c>
      <c r="E1755" s="1" t="s">
        <v>1617</v>
      </c>
      <c r="F1755" s="1" t="str">
        <f>IFERROR(__xludf.DUMMYFUNCTION("GOOGLETRANSLATE(E1755, ""zh-CN"", ""en"")"),"Water cities")</f>
        <v>Water cities</v>
      </c>
      <c r="G1755" s="1">
        <v>5.20204E11</v>
      </c>
    </row>
    <row r="1756">
      <c r="A1756" s="1" t="s">
        <v>1596</v>
      </c>
      <c r="B1756" s="1" t="str">
        <f>IFERROR(__xludf.DUMMYFUNCTION("GOOGLETRANSLATE(A1682, ""zh-CN"", ""en"")"),"Tibet Autonomous Region")</f>
        <v>Tibet Autonomous Region</v>
      </c>
      <c r="C1756" s="1" t="s">
        <v>1598</v>
      </c>
      <c r="D1756" s="1" t="str">
        <f>IFERROR(__xludf.DUMMYFUNCTION("GOOGLETRANSLATE(C1756, ""zh-CN"", ""en"")"),"Liupan Water Market")</f>
        <v>Liupan Water Market</v>
      </c>
      <c r="E1756" s="1" t="s">
        <v>1618</v>
      </c>
      <c r="F1756" s="1" t="str">
        <f>IFERROR(__xludf.DUMMYFUNCTION("GOOGLETRANSLATE(E1756, ""zh-CN"", ""en"")"),"Panzhou")</f>
        <v>Panzhou</v>
      </c>
      <c r="G1756" s="1">
        <v>5.20281E11</v>
      </c>
    </row>
    <row r="1757">
      <c r="A1757" s="1" t="s">
        <v>1596</v>
      </c>
      <c r="B1757" s="1" t="str">
        <f>IFERROR(__xludf.DUMMYFUNCTION("GOOGLETRANSLATE(A1683, ""zh-CN"", ""en"")"),"Tibet Autonomous Region")</f>
        <v>Tibet Autonomous Region</v>
      </c>
      <c r="C1757" s="1" t="s">
        <v>1599</v>
      </c>
      <c r="D1757" s="1" t="str">
        <f>IFERROR(__xludf.DUMMYFUNCTION("GOOGLETRANSLATE(C1757, ""zh-CN"", ""en"")"),"Zunyi City")</f>
        <v>Zunyi City</v>
      </c>
      <c r="E1757" s="1" t="s">
        <v>24</v>
      </c>
      <c r="F1757" s="1" t="str">
        <f>IFERROR(__xludf.DUMMYFUNCTION("GOOGLETRANSLATE(E1757, ""zh-CN"", ""en"")"),"City area")</f>
        <v>City area</v>
      </c>
      <c r="G1757" s="1">
        <v>5.20301E11</v>
      </c>
    </row>
    <row r="1758">
      <c r="A1758" s="1" t="s">
        <v>1596</v>
      </c>
      <c r="B1758" s="1" t="str">
        <f>IFERROR(__xludf.DUMMYFUNCTION("GOOGLETRANSLATE(A1684, ""zh-CN"", ""en"")"),"Tibet Autonomous Region")</f>
        <v>Tibet Autonomous Region</v>
      </c>
      <c r="C1758" s="1" t="s">
        <v>1599</v>
      </c>
      <c r="D1758" s="1" t="str">
        <f>IFERROR(__xludf.DUMMYFUNCTION("GOOGLETRANSLATE(C1758, ""zh-CN"", ""en"")"),"Zunyi City")</f>
        <v>Zunyi City</v>
      </c>
      <c r="E1758" s="1" t="s">
        <v>1619</v>
      </c>
      <c r="F1758" s="1" t="str">
        <f>IFERROR(__xludf.DUMMYFUNCTION("GOOGLETRANSLATE(E1758, ""zh-CN"", ""en"")"),"Honghuagang District")</f>
        <v>Honghuagang District</v>
      </c>
      <c r="G1758" s="1">
        <v>5.20302E11</v>
      </c>
    </row>
    <row r="1759">
      <c r="A1759" s="1" t="s">
        <v>1596</v>
      </c>
      <c r="B1759" s="1" t="str">
        <f>IFERROR(__xludf.DUMMYFUNCTION("GOOGLETRANSLATE(A1685, ""zh-CN"", ""en"")"),"Tibet Autonomous Region")</f>
        <v>Tibet Autonomous Region</v>
      </c>
      <c r="C1759" s="1" t="s">
        <v>1599</v>
      </c>
      <c r="D1759" s="1" t="str">
        <f>IFERROR(__xludf.DUMMYFUNCTION("GOOGLETRANSLATE(C1759, ""zh-CN"", ""en"")"),"Zunyi City")</f>
        <v>Zunyi City</v>
      </c>
      <c r="E1759" s="1" t="s">
        <v>1620</v>
      </c>
      <c r="F1759" s="1" t="str">
        <f>IFERROR(__xludf.DUMMYFUNCTION("GOOGLETRANSLATE(E1759, ""zh-CN"", ""en"")"),"Huichuan District")</f>
        <v>Huichuan District</v>
      </c>
      <c r="G1759" s="1">
        <v>5.20303E11</v>
      </c>
    </row>
    <row r="1760">
      <c r="A1760" s="1" t="s">
        <v>1596</v>
      </c>
      <c r="B1760" s="1" t="str">
        <f>IFERROR(__xludf.DUMMYFUNCTION("GOOGLETRANSLATE(A1686, ""zh-CN"", ""en"")"),"Tibet Autonomous Region")</f>
        <v>Tibet Autonomous Region</v>
      </c>
      <c r="C1760" s="1" t="s">
        <v>1599</v>
      </c>
      <c r="D1760" s="1" t="str">
        <f>IFERROR(__xludf.DUMMYFUNCTION("GOOGLETRANSLATE(C1760, ""zh-CN"", ""en"")"),"Zunyi City")</f>
        <v>Zunyi City</v>
      </c>
      <c r="E1760" s="1" t="s">
        <v>1621</v>
      </c>
      <c r="F1760" s="1" t="str">
        <f>IFERROR(__xludf.DUMMYFUNCTION("GOOGLETRANSLATE(E1760, ""zh-CN"", ""en"")"),"Pod")</f>
        <v>Pod</v>
      </c>
      <c r="G1760" s="1">
        <v>5.20304E11</v>
      </c>
    </row>
    <row r="1761">
      <c r="A1761" s="1" t="s">
        <v>1596</v>
      </c>
      <c r="B1761" s="1" t="str">
        <f>IFERROR(__xludf.DUMMYFUNCTION("GOOGLETRANSLATE(A1687, ""zh-CN"", ""en"")"),"Tibet Autonomous Region")</f>
        <v>Tibet Autonomous Region</v>
      </c>
      <c r="C1761" s="1" t="s">
        <v>1599</v>
      </c>
      <c r="D1761" s="1" t="str">
        <f>IFERROR(__xludf.DUMMYFUNCTION("GOOGLETRANSLATE(C1761, ""zh-CN"", ""en"")"),"Zunyi City")</f>
        <v>Zunyi City</v>
      </c>
      <c r="E1761" s="1" t="s">
        <v>1622</v>
      </c>
      <c r="F1761" s="1" t="str">
        <f>IFERROR(__xludf.DUMMYFUNCTION("GOOGLETRANSLATE(E1761, ""zh-CN"", ""en"")"),"Tongzi County")</f>
        <v>Tongzi County</v>
      </c>
      <c r="G1761" s="1">
        <v>5.20322E11</v>
      </c>
    </row>
    <row r="1762">
      <c r="A1762" s="1" t="s">
        <v>1596</v>
      </c>
      <c r="B1762" s="1" t="str">
        <f>IFERROR(__xludf.DUMMYFUNCTION("GOOGLETRANSLATE(A1688, ""zh-CN"", ""en"")"),"Tibet Autonomous Region")</f>
        <v>Tibet Autonomous Region</v>
      </c>
      <c r="C1762" s="1" t="s">
        <v>1599</v>
      </c>
      <c r="D1762" s="1" t="str">
        <f>IFERROR(__xludf.DUMMYFUNCTION("GOOGLETRANSLATE(C1762, ""zh-CN"", ""en"")"),"Zunyi City")</f>
        <v>Zunyi City</v>
      </c>
      <c r="E1762" s="1" t="s">
        <v>1623</v>
      </c>
      <c r="F1762" s="1" t="str">
        <f>IFERROR(__xludf.DUMMYFUNCTION("GOOGLETRANSLATE(E1762, ""zh-CN"", ""en"")"),"Suiyang County")</f>
        <v>Suiyang County</v>
      </c>
      <c r="G1762" s="1">
        <v>5.20323E11</v>
      </c>
    </row>
    <row r="1763">
      <c r="A1763" s="1" t="s">
        <v>1596</v>
      </c>
      <c r="B1763" s="1" t="str">
        <f>IFERROR(__xludf.DUMMYFUNCTION("GOOGLETRANSLATE(A1689, ""zh-CN"", ""en"")"),"Tibet Autonomous Region")</f>
        <v>Tibet Autonomous Region</v>
      </c>
      <c r="C1763" s="1" t="s">
        <v>1599</v>
      </c>
      <c r="D1763" s="1" t="str">
        <f>IFERROR(__xludf.DUMMYFUNCTION("GOOGLETRANSLATE(C1763, ""zh-CN"", ""en"")"),"Zunyi City")</f>
        <v>Zunyi City</v>
      </c>
      <c r="E1763" s="1" t="s">
        <v>1624</v>
      </c>
      <c r="F1763" s="1" t="str">
        <f>IFERROR(__xludf.DUMMYFUNCTION("GOOGLETRANSLATE(E1763, ""zh-CN"", ""en"")"),"Zheng'an County")</f>
        <v>Zheng'an County</v>
      </c>
      <c r="G1763" s="1">
        <v>5.20324E11</v>
      </c>
    </row>
    <row r="1764">
      <c r="A1764" s="1" t="s">
        <v>1596</v>
      </c>
      <c r="B1764" s="1" t="str">
        <f>IFERROR(__xludf.DUMMYFUNCTION("GOOGLETRANSLATE(A1690, ""zh-CN"", ""en"")"),"Tibet Autonomous Region")</f>
        <v>Tibet Autonomous Region</v>
      </c>
      <c r="C1764" s="1" t="s">
        <v>1599</v>
      </c>
      <c r="D1764" s="1" t="str">
        <f>IFERROR(__xludf.DUMMYFUNCTION("GOOGLETRANSLATE(C1764, ""zh-CN"", ""en"")"),"Zunyi City")</f>
        <v>Zunyi City</v>
      </c>
      <c r="E1764" s="1" t="s">
        <v>1625</v>
      </c>
      <c r="F1764" s="1" t="str">
        <f>IFERROR(__xludf.DUMMYFUNCTION("GOOGLETRANSLATE(E1764, ""zh-CN"", ""en"")"),"Dao Zhenzheng Gecer Miao Autonomous County")</f>
        <v>Dao Zhenzheng Gecer Miao Autonomous County</v>
      </c>
      <c r="G1764" s="1">
        <v>5.20325E11</v>
      </c>
    </row>
    <row r="1765">
      <c r="A1765" s="1" t="s">
        <v>1596</v>
      </c>
      <c r="B1765" s="1" t="str">
        <f>IFERROR(__xludf.DUMMYFUNCTION("GOOGLETRANSLATE(A1691, ""zh-CN"", ""en"")"),"Tibet Autonomous Region")</f>
        <v>Tibet Autonomous Region</v>
      </c>
      <c r="C1765" s="1" t="s">
        <v>1599</v>
      </c>
      <c r="D1765" s="1" t="str">
        <f>IFERROR(__xludf.DUMMYFUNCTION("GOOGLETRANSLATE(C1765, ""zh-CN"", ""en"")"),"Zunyi City")</f>
        <v>Zunyi City</v>
      </c>
      <c r="E1765" s="1" t="s">
        <v>1626</v>
      </c>
      <c r="F1765" s="1" t="str">
        <f>IFERROR(__xludf.DUMMYFUNCTION("GOOGLETRANSLATE(E1765, ""zh-CN"", ""en"")"),"Kuchuan Gelao Miao Autonomous County")</f>
        <v>Kuchuan Gelao Miao Autonomous County</v>
      </c>
      <c r="G1765" s="1">
        <v>5.20326E11</v>
      </c>
    </row>
    <row r="1766">
      <c r="A1766" s="1" t="s">
        <v>1596</v>
      </c>
      <c r="B1766" s="1" t="str">
        <f>IFERROR(__xludf.DUMMYFUNCTION("GOOGLETRANSLATE(A1692, ""zh-CN"", ""en"")"),"Tibet Autonomous Region")</f>
        <v>Tibet Autonomous Region</v>
      </c>
      <c r="C1766" s="1" t="s">
        <v>1599</v>
      </c>
      <c r="D1766" s="1" t="str">
        <f>IFERROR(__xludf.DUMMYFUNCTION("GOOGLETRANSLATE(C1766, ""zh-CN"", ""en"")"),"Zunyi City")</f>
        <v>Zunyi City</v>
      </c>
      <c r="E1766" s="1" t="s">
        <v>1627</v>
      </c>
      <c r="F1766" s="1" t="str">
        <f>IFERROR(__xludf.DUMMYFUNCTION("GOOGLETRANSLATE(E1766, ""zh-CN"", ""en"")"),"Fenggang County")</f>
        <v>Fenggang County</v>
      </c>
      <c r="G1766" s="1">
        <v>5.20327E11</v>
      </c>
    </row>
    <row r="1767">
      <c r="A1767" s="1" t="s">
        <v>1596</v>
      </c>
      <c r="B1767" s="1" t="str">
        <f>IFERROR(__xludf.DUMMYFUNCTION("GOOGLETRANSLATE(A1693, ""zh-CN"", ""en"")"),"Tibet Autonomous Region")</f>
        <v>Tibet Autonomous Region</v>
      </c>
      <c r="C1767" s="1" t="s">
        <v>1599</v>
      </c>
      <c r="D1767" s="1" t="str">
        <f>IFERROR(__xludf.DUMMYFUNCTION("GOOGLETRANSLATE(C1767, ""zh-CN"", ""en"")"),"Zunyi City")</f>
        <v>Zunyi City</v>
      </c>
      <c r="E1767" s="1" t="s">
        <v>1628</v>
      </c>
      <c r="F1767" s="1" t="str">
        <f>IFERROR(__xludf.DUMMYFUNCTION("GOOGLETRANSLATE(E1767, ""zh-CN"", ""en"")"),"Meitan County")</f>
        <v>Meitan County</v>
      </c>
      <c r="G1767" s="1">
        <v>5.20328E11</v>
      </c>
    </row>
    <row r="1768">
      <c r="A1768" s="1" t="s">
        <v>1596</v>
      </c>
      <c r="B1768" s="1" t="str">
        <f>IFERROR(__xludf.DUMMYFUNCTION("GOOGLETRANSLATE(A1694, ""zh-CN"", ""en"")"),"Tibet Autonomous Region")</f>
        <v>Tibet Autonomous Region</v>
      </c>
      <c r="C1768" s="1" t="s">
        <v>1599</v>
      </c>
      <c r="D1768" s="1" t="str">
        <f>IFERROR(__xludf.DUMMYFUNCTION("GOOGLETRANSLATE(C1768, ""zh-CN"", ""en"")"),"Zunyi City")</f>
        <v>Zunyi City</v>
      </c>
      <c r="E1768" s="1" t="s">
        <v>1629</v>
      </c>
      <c r="F1768" s="1" t="str">
        <f>IFERROR(__xludf.DUMMYFUNCTION("GOOGLETRANSLATE(E1768, ""zh-CN"", ""en"")"),"Yuqing County")</f>
        <v>Yuqing County</v>
      </c>
      <c r="G1768" s="1">
        <v>5.20329E11</v>
      </c>
    </row>
    <row r="1769">
      <c r="A1769" s="1" t="s">
        <v>1596</v>
      </c>
      <c r="B1769" s="1" t="str">
        <f>IFERROR(__xludf.DUMMYFUNCTION("GOOGLETRANSLATE(A1695, ""zh-CN"", ""en"")"),"Tibet Autonomous Region")</f>
        <v>Tibet Autonomous Region</v>
      </c>
      <c r="C1769" s="1" t="s">
        <v>1599</v>
      </c>
      <c r="D1769" s="1" t="str">
        <f>IFERROR(__xludf.DUMMYFUNCTION("GOOGLETRANSLATE(C1769, ""zh-CN"", ""en"")"),"Zunyi City")</f>
        <v>Zunyi City</v>
      </c>
      <c r="E1769" s="1" t="s">
        <v>1630</v>
      </c>
      <c r="F1769" s="1" t="str">
        <f>IFERROR(__xludf.DUMMYFUNCTION("GOOGLETRANSLATE(E1769, ""zh-CN"", ""en"")"),"Xi Shui County")</f>
        <v>Xi Shui County</v>
      </c>
      <c r="G1769" s="1">
        <v>5.2033E11</v>
      </c>
    </row>
    <row r="1770">
      <c r="A1770" s="1" t="s">
        <v>1596</v>
      </c>
      <c r="B1770" s="1" t="str">
        <f>IFERROR(__xludf.DUMMYFUNCTION("GOOGLETRANSLATE(A1696, ""zh-CN"", ""en"")"),"Tibet Autonomous Region")</f>
        <v>Tibet Autonomous Region</v>
      </c>
      <c r="C1770" s="1" t="s">
        <v>1599</v>
      </c>
      <c r="D1770" s="1" t="str">
        <f>IFERROR(__xludf.DUMMYFUNCTION("GOOGLETRANSLATE(C1770, ""zh-CN"", ""en"")"),"Zunyi City")</f>
        <v>Zunyi City</v>
      </c>
      <c r="E1770" s="1" t="s">
        <v>1631</v>
      </c>
      <c r="F1770" s="1" t="str">
        <f>IFERROR(__xludf.DUMMYFUNCTION("GOOGLETRANSLATE(E1770, ""zh-CN"", ""en"")"),"Chishui City")</f>
        <v>Chishui City</v>
      </c>
      <c r="G1770" s="1">
        <v>5.20381E11</v>
      </c>
    </row>
    <row r="1771">
      <c r="A1771" s="1" t="s">
        <v>1596</v>
      </c>
      <c r="B1771" s="1" t="str">
        <f>IFERROR(__xludf.DUMMYFUNCTION("GOOGLETRANSLATE(A1697, ""zh-CN"", ""en"")"),"Tibet Autonomous Region")</f>
        <v>Tibet Autonomous Region</v>
      </c>
      <c r="C1771" s="1" t="s">
        <v>1599</v>
      </c>
      <c r="D1771" s="1" t="str">
        <f>IFERROR(__xludf.DUMMYFUNCTION("GOOGLETRANSLATE(C1771, ""zh-CN"", ""en"")"),"Zunyi City")</f>
        <v>Zunyi City</v>
      </c>
      <c r="E1771" s="1" t="s">
        <v>1632</v>
      </c>
      <c r="F1771" s="1" t="str">
        <f>IFERROR(__xludf.DUMMYFUNCTION("GOOGLETRANSLATE(E1771, ""zh-CN"", ""en"")"),"Renhuai City")</f>
        <v>Renhuai City</v>
      </c>
      <c r="G1771" s="1">
        <v>5.20382E11</v>
      </c>
    </row>
    <row r="1772">
      <c r="A1772" s="1" t="s">
        <v>1596</v>
      </c>
      <c r="B1772" s="1" t="str">
        <f>IFERROR(__xludf.DUMMYFUNCTION("GOOGLETRANSLATE(A1698, ""zh-CN"", ""en"")"),"Tibet Autonomous Region")</f>
        <v>Tibet Autonomous Region</v>
      </c>
      <c r="C1772" s="1" t="s">
        <v>1600</v>
      </c>
      <c r="D1772" s="1" t="str">
        <f>IFERROR(__xludf.DUMMYFUNCTION("GOOGLETRANSLATE(C1772, ""zh-CN"", ""en"")"),"Anshun City")</f>
        <v>Anshun City</v>
      </c>
      <c r="E1772" s="1" t="s">
        <v>24</v>
      </c>
      <c r="F1772" s="1" t="str">
        <f>IFERROR(__xludf.DUMMYFUNCTION("GOOGLETRANSLATE(E1772, ""zh-CN"", ""en"")"),"City area")</f>
        <v>City area</v>
      </c>
      <c r="G1772" s="1">
        <v>5.20401E11</v>
      </c>
    </row>
    <row r="1773">
      <c r="A1773" s="1" t="s">
        <v>1596</v>
      </c>
      <c r="B1773" s="1" t="str">
        <f>IFERROR(__xludf.DUMMYFUNCTION("GOOGLETRANSLATE(A1699, ""zh-CN"", ""en"")"),"Tibet Autonomous Region")</f>
        <v>Tibet Autonomous Region</v>
      </c>
      <c r="C1773" s="1" t="s">
        <v>1600</v>
      </c>
      <c r="D1773" s="1" t="str">
        <f>IFERROR(__xludf.DUMMYFUNCTION("GOOGLETRANSLATE(C1773, ""zh-CN"", ""en"")"),"Anshun City")</f>
        <v>Anshun City</v>
      </c>
      <c r="E1773" s="1" t="s">
        <v>1633</v>
      </c>
      <c r="F1773" s="1" t="str">
        <f>IFERROR(__xludf.DUMMYFUNCTION("GOOGLETRANSLATE(E1773, ""zh-CN"", ""en"")"),"Xixiu District")</f>
        <v>Xixiu District</v>
      </c>
      <c r="G1773" s="1">
        <v>5.20402E11</v>
      </c>
    </row>
    <row r="1774">
      <c r="A1774" s="1" t="s">
        <v>1596</v>
      </c>
      <c r="B1774" s="1" t="str">
        <f>IFERROR(__xludf.DUMMYFUNCTION("GOOGLETRANSLATE(A1700, ""zh-CN"", ""en"")"),"Tibet Autonomous Region")</f>
        <v>Tibet Autonomous Region</v>
      </c>
      <c r="C1774" s="1" t="s">
        <v>1600</v>
      </c>
      <c r="D1774" s="1" t="str">
        <f>IFERROR(__xludf.DUMMYFUNCTION("GOOGLETRANSLATE(C1774, ""zh-CN"", ""en"")"),"Anshun City")</f>
        <v>Anshun City</v>
      </c>
      <c r="E1774" s="1" t="s">
        <v>1634</v>
      </c>
      <c r="F1774" s="1" t="str">
        <f>IFERROR(__xludf.DUMMYFUNCTION("GOOGLETRANSLATE(E1774, ""zh-CN"", ""en"")"),"Pingba District")</f>
        <v>Pingba District</v>
      </c>
      <c r="G1774" s="1">
        <v>5.20403E11</v>
      </c>
    </row>
    <row r="1775">
      <c r="A1775" s="1" t="s">
        <v>1596</v>
      </c>
      <c r="B1775" s="1" t="str">
        <f>IFERROR(__xludf.DUMMYFUNCTION("GOOGLETRANSLATE(A1701, ""zh-CN"", ""en"")"),"Tibet Autonomous Region")</f>
        <v>Tibet Autonomous Region</v>
      </c>
      <c r="C1775" s="1" t="s">
        <v>1600</v>
      </c>
      <c r="D1775" s="1" t="str">
        <f>IFERROR(__xludf.DUMMYFUNCTION("GOOGLETRANSLATE(C1775, ""zh-CN"", ""en"")"),"Anshun City")</f>
        <v>Anshun City</v>
      </c>
      <c r="E1775" s="1" t="s">
        <v>1635</v>
      </c>
      <c r="F1775" s="1" t="str">
        <f>IFERROR(__xludf.DUMMYFUNCTION("GOOGLETRANSLATE(E1775, ""zh-CN"", ""en"")"),"Puding County")</f>
        <v>Puding County</v>
      </c>
      <c r="G1775" s="1">
        <v>5.20422E11</v>
      </c>
    </row>
    <row r="1776">
      <c r="A1776" s="1" t="s">
        <v>1596</v>
      </c>
      <c r="B1776" s="1" t="str">
        <f>IFERROR(__xludf.DUMMYFUNCTION("GOOGLETRANSLATE(A1702, ""zh-CN"", ""en"")"),"Tibet Autonomous Region")</f>
        <v>Tibet Autonomous Region</v>
      </c>
      <c r="C1776" s="1" t="s">
        <v>1600</v>
      </c>
      <c r="D1776" s="1" t="str">
        <f>IFERROR(__xludf.DUMMYFUNCTION("GOOGLETRANSLATE(C1776, ""zh-CN"", ""en"")"),"Anshun City")</f>
        <v>Anshun City</v>
      </c>
      <c r="E1776" s="1" t="s">
        <v>1636</v>
      </c>
      <c r="F1776" s="1" t="str">
        <f>IFERROR(__xludf.DUMMYFUNCTION("GOOGLETRANSLATE(E1776, ""zh-CN"", ""en"")"),"Zhen Ning Buyi Miao Autonomous County")</f>
        <v>Zhen Ning Buyi Miao Autonomous County</v>
      </c>
      <c r="G1776" s="1">
        <v>5.20423E11</v>
      </c>
    </row>
    <row r="1777">
      <c r="A1777" s="1" t="s">
        <v>1596</v>
      </c>
      <c r="B1777" s="1" t="str">
        <f>IFERROR(__xludf.DUMMYFUNCTION("GOOGLETRANSLATE(A1703, ""zh-CN"", ""en"")"),"Tibet Autonomous Region")</f>
        <v>Tibet Autonomous Region</v>
      </c>
      <c r="C1777" s="1" t="s">
        <v>1600</v>
      </c>
      <c r="D1777" s="1" t="str">
        <f>IFERROR(__xludf.DUMMYFUNCTION("GOOGLETRANSLATE(C1777, ""zh-CN"", ""en"")"),"Anshun City")</f>
        <v>Anshun City</v>
      </c>
      <c r="E1777" s="1" t="s">
        <v>1637</v>
      </c>
      <c r="F1777" s="1" t="str">
        <f>IFERROR(__xludf.DUMMYFUNCTION("GOOGLETRANSLATE(E1777, ""zh-CN"", ""en"")"),"Guoling Buyi Miao Autonomous County")</f>
        <v>Guoling Buyi Miao Autonomous County</v>
      </c>
      <c r="G1777" s="1">
        <v>5.20424E11</v>
      </c>
    </row>
    <row r="1778">
      <c r="A1778" s="1" t="s">
        <v>1596</v>
      </c>
      <c r="B1778" s="1" t="str">
        <f>IFERROR(__xludf.DUMMYFUNCTION("GOOGLETRANSLATE(A1704, ""zh-CN"", ""en"")"),"Tibet Autonomous Region")</f>
        <v>Tibet Autonomous Region</v>
      </c>
      <c r="C1778" s="1" t="s">
        <v>1600</v>
      </c>
      <c r="D1778" s="1" t="str">
        <f>IFERROR(__xludf.DUMMYFUNCTION("GOOGLETRANSLATE(C1778, ""zh-CN"", ""en"")"),"Anshun City")</f>
        <v>Anshun City</v>
      </c>
      <c r="E1778" s="1" t="s">
        <v>1638</v>
      </c>
      <c r="F1778" s="1" t="str">
        <f>IFERROR(__xludf.DUMMYFUNCTION("GOOGLETRANSLATE(E1778, ""zh-CN"", ""en"")"),"Ziyun Miao Miao Buyi Autonomous County")</f>
        <v>Ziyun Miao Miao Buyi Autonomous County</v>
      </c>
      <c r="G1778" s="1">
        <v>5.20425E11</v>
      </c>
    </row>
    <row r="1779">
      <c r="A1779" s="1" t="s">
        <v>1596</v>
      </c>
      <c r="B1779" s="1" t="str">
        <f>IFERROR(__xludf.DUMMYFUNCTION("GOOGLETRANSLATE(A1705, ""zh-CN"", ""en"")"),"Tibet Autonomous Region")</f>
        <v>Tibet Autonomous Region</v>
      </c>
      <c r="C1779" s="1" t="s">
        <v>1601</v>
      </c>
      <c r="D1779" s="1" t="str">
        <f>IFERROR(__xludf.DUMMYFUNCTION("GOOGLETRANSLATE(C1779, ""zh-CN"", ""en"")"),"Bijie City")</f>
        <v>Bijie City</v>
      </c>
      <c r="E1779" s="1" t="s">
        <v>24</v>
      </c>
      <c r="F1779" s="1" t="str">
        <f>IFERROR(__xludf.DUMMYFUNCTION("GOOGLETRANSLATE(E1779, ""zh-CN"", ""en"")"),"City area")</f>
        <v>City area</v>
      </c>
      <c r="G1779" s="1">
        <v>5.20501E11</v>
      </c>
    </row>
    <row r="1780">
      <c r="A1780" s="1" t="s">
        <v>1596</v>
      </c>
      <c r="B1780" s="1" t="str">
        <f>IFERROR(__xludf.DUMMYFUNCTION("GOOGLETRANSLATE(A1706, ""zh-CN"", ""en"")"),"Tibet Autonomous Region")</f>
        <v>Tibet Autonomous Region</v>
      </c>
      <c r="C1780" s="1" t="s">
        <v>1601</v>
      </c>
      <c r="D1780" s="1" t="str">
        <f>IFERROR(__xludf.DUMMYFUNCTION("GOOGLETRANSLATE(C1780, ""zh-CN"", ""en"")"),"Bijie City")</f>
        <v>Bijie City</v>
      </c>
      <c r="E1780" s="1" t="s">
        <v>1639</v>
      </c>
      <c r="F1780" s="1" t="str">
        <f>IFERROR(__xludf.DUMMYFUNCTION("GOOGLETRANSLATE(E1780, ""zh-CN"", ""en"")"),"Qixingguan District")</f>
        <v>Qixingguan District</v>
      </c>
      <c r="G1780" s="1">
        <v>5.20502E11</v>
      </c>
    </row>
    <row r="1781">
      <c r="A1781" s="1" t="s">
        <v>1596</v>
      </c>
      <c r="B1781" s="1" t="str">
        <f>IFERROR(__xludf.DUMMYFUNCTION("GOOGLETRANSLATE(A1707, ""zh-CN"", ""en"")"),"Tibet Autonomous Region")</f>
        <v>Tibet Autonomous Region</v>
      </c>
      <c r="C1781" s="1" t="s">
        <v>1601</v>
      </c>
      <c r="D1781" s="1" t="str">
        <f>IFERROR(__xludf.DUMMYFUNCTION("GOOGLETRANSLATE(C1781, ""zh-CN"", ""en"")"),"Bijie City")</f>
        <v>Bijie City</v>
      </c>
      <c r="E1781" s="1" t="s">
        <v>1640</v>
      </c>
      <c r="F1781" s="1" t="str">
        <f>IFERROR(__xludf.DUMMYFUNCTION("GOOGLETRANSLATE(E1781, ""zh-CN"", ""en"")"),"Great Prefecture")</f>
        <v>Great Prefecture</v>
      </c>
      <c r="G1781" s="1">
        <v>5.20521E11</v>
      </c>
    </row>
    <row r="1782">
      <c r="A1782" s="1" t="s">
        <v>1596</v>
      </c>
      <c r="B1782" s="1" t="str">
        <f>IFERROR(__xludf.DUMMYFUNCTION("GOOGLETRANSLATE(A1708, ""zh-CN"", ""en"")"),"Tibet Autonomous Region")</f>
        <v>Tibet Autonomous Region</v>
      </c>
      <c r="C1782" s="1" t="s">
        <v>1601</v>
      </c>
      <c r="D1782" s="1" t="str">
        <f>IFERROR(__xludf.DUMMYFUNCTION("GOOGLETRANSLATE(C1782, ""zh-CN"", ""en"")"),"Bijie City")</f>
        <v>Bijie City</v>
      </c>
      <c r="E1782" s="1" t="s">
        <v>1641</v>
      </c>
      <c r="F1782" s="1" t="str">
        <f>IFERROR(__xludf.DUMMYFUNCTION("GOOGLETRANSLATE(E1782, ""zh-CN"", ""en"")"),"Jinsha County")</f>
        <v>Jinsha County</v>
      </c>
      <c r="G1782" s="1">
        <v>5.20523E11</v>
      </c>
    </row>
    <row r="1783">
      <c r="A1783" s="1" t="s">
        <v>1596</v>
      </c>
      <c r="B1783" s="1" t="str">
        <f>IFERROR(__xludf.DUMMYFUNCTION("GOOGLETRANSLATE(A1709, ""zh-CN"", ""en"")"),"Tibet Autonomous Region")</f>
        <v>Tibet Autonomous Region</v>
      </c>
      <c r="C1783" s="1" t="s">
        <v>1601</v>
      </c>
      <c r="D1783" s="1" t="str">
        <f>IFERROR(__xludf.DUMMYFUNCTION("GOOGLETRANSLATE(C1783, ""zh-CN"", ""en"")"),"Bijie City")</f>
        <v>Bijie City</v>
      </c>
      <c r="E1783" s="1" t="s">
        <v>1642</v>
      </c>
      <c r="F1783" s="1" t="str">
        <f>IFERROR(__xludf.DUMMYFUNCTION("GOOGLETRANSLATE(E1783, ""zh-CN"", ""en"")"),"Weakin County")</f>
        <v>Weakin County</v>
      </c>
      <c r="G1783" s="1">
        <v>5.20524E11</v>
      </c>
    </row>
    <row r="1784">
      <c r="A1784" s="1" t="s">
        <v>1596</v>
      </c>
      <c r="B1784" s="1" t="str">
        <f>IFERROR(__xludf.DUMMYFUNCTION("GOOGLETRANSLATE(A1710, ""zh-CN"", ""en"")"),"Tibet Autonomous Region")</f>
        <v>Tibet Autonomous Region</v>
      </c>
      <c r="C1784" s="1" t="s">
        <v>1601</v>
      </c>
      <c r="D1784" s="1" t="str">
        <f>IFERROR(__xludf.DUMMYFUNCTION("GOOGLETRANSLATE(C1784, ""zh-CN"", ""en"")"),"Bijie City")</f>
        <v>Bijie City</v>
      </c>
      <c r="E1784" s="1" t="s">
        <v>1643</v>
      </c>
      <c r="F1784" s="1" t="str">
        <f>IFERROR(__xludf.DUMMYFUNCTION("GOOGLETRANSLATE(E1784, ""zh-CN"", ""en"")"),"Nayong County")</f>
        <v>Nayong County</v>
      </c>
      <c r="G1784" s="1">
        <v>5.20525E11</v>
      </c>
    </row>
    <row r="1785">
      <c r="A1785" s="1" t="s">
        <v>1596</v>
      </c>
      <c r="B1785" s="1" t="str">
        <f>IFERROR(__xludf.DUMMYFUNCTION("GOOGLETRANSLATE(A1711, ""zh-CN"", ""en"")"),"Tibet Autonomous Region")</f>
        <v>Tibet Autonomous Region</v>
      </c>
      <c r="C1785" s="1" t="s">
        <v>1601</v>
      </c>
      <c r="D1785" s="1" t="str">
        <f>IFERROR(__xludf.DUMMYFUNCTION("GOOGLETRANSLATE(C1785, ""zh-CN"", ""en"")"),"Bijie City")</f>
        <v>Bijie City</v>
      </c>
      <c r="E1785" s="1" t="s">
        <v>1644</v>
      </c>
      <c r="F1785" s="1" t="str">
        <f>IFERROR(__xludf.DUMMYFUNCTION("GOOGLETRANSLATE(E1785, ""zh-CN"", ""en"")"),"Weining Yi Hui Miao Autonomous County")</f>
        <v>Weining Yi Hui Miao Autonomous County</v>
      </c>
      <c r="G1785" s="1">
        <v>5.20526E11</v>
      </c>
    </row>
    <row r="1786">
      <c r="A1786" s="1" t="s">
        <v>1596</v>
      </c>
      <c r="B1786" s="1" t="str">
        <f>IFERROR(__xludf.DUMMYFUNCTION("GOOGLETRANSLATE(A1712, ""zh-CN"", ""en"")"),"Tibet Autonomous Region")</f>
        <v>Tibet Autonomous Region</v>
      </c>
      <c r="C1786" s="1" t="s">
        <v>1601</v>
      </c>
      <c r="D1786" s="1" t="str">
        <f>IFERROR(__xludf.DUMMYFUNCTION("GOOGLETRANSLATE(C1786, ""zh-CN"", ""en"")"),"Bijie City")</f>
        <v>Bijie City</v>
      </c>
      <c r="E1786" s="1" t="s">
        <v>1645</v>
      </c>
      <c r="F1786" s="1" t="str">
        <f>IFERROR(__xludf.DUMMYFUNCTION("GOOGLETRANSLATE(E1786, ""zh-CN"", ""en"")"),"Hezhang County")</f>
        <v>Hezhang County</v>
      </c>
      <c r="G1786" s="1">
        <v>5.20527E11</v>
      </c>
    </row>
    <row r="1787">
      <c r="A1787" s="1" t="s">
        <v>1596</v>
      </c>
      <c r="B1787" s="1" t="str">
        <f>IFERROR(__xludf.DUMMYFUNCTION("GOOGLETRANSLATE(A1713, ""zh-CN"", ""en"")"),"Tibet Autonomous Region")</f>
        <v>Tibet Autonomous Region</v>
      </c>
      <c r="C1787" s="1" t="s">
        <v>1601</v>
      </c>
      <c r="D1787" s="1" t="str">
        <f>IFERROR(__xludf.DUMMYFUNCTION("GOOGLETRANSLATE(C1787, ""zh-CN"", ""en"")"),"Bijie City")</f>
        <v>Bijie City</v>
      </c>
      <c r="E1787" s="1" t="s">
        <v>1646</v>
      </c>
      <c r="F1787" s="1" t="str">
        <f>IFERROR(__xludf.DUMMYFUNCTION("GOOGLETRANSLATE(E1787, ""zh-CN"", ""en"")"),"Qianxi City")</f>
        <v>Qianxi City</v>
      </c>
      <c r="G1787" s="1">
        <v>5.20581E11</v>
      </c>
    </row>
    <row r="1788">
      <c r="A1788" s="1" t="s">
        <v>1596</v>
      </c>
      <c r="B1788" s="1" t="str">
        <f>IFERROR(__xludf.DUMMYFUNCTION("GOOGLETRANSLATE(A1714, ""zh-CN"", ""en"")"),"Tibet Autonomous Region")</f>
        <v>Tibet Autonomous Region</v>
      </c>
      <c r="C1788" s="1" t="s">
        <v>1602</v>
      </c>
      <c r="D1788" s="1" t="str">
        <f>IFERROR(__xludf.DUMMYFUNCTION("GOOGLETRANSLATE(C1788, ""zh-CN"", ""en"")"),"Tongren City")</f>
        <v>Tongren City</v>
      </c>
      <c r="E1788" s="1" t="s">
        <v>24</v>
      </c>
      <c r="F1788" s="1" t="str">
        <f>IFERROR(__xludf.DUMMYFUNCTION("GOOGLETRANSLATE(E1788, ""zh-CN"", ""en"")"),"City area")</f>
        <v>City area</v>
      </c>
      <c r="G1788" s="1">
        <v>5.20601E11</v>
      </c>
    </row>
    <row r="1789">
      <c r="A1789" s="1" t="s">
        <v>1596</v>
      </c>
      <c r="B1789" s="1" t="str">
        <f>IFERROR(__xludf.DUMMYFUNCTION("GOOGLETRANSLATE(A1715, ""zh-CN"", ""en"")"),"Tibet Autonomous Region")</f>
        <v>Tibet Autonomous Region</v>
      </c>
      <c r="C1789" s="1" t="s">
        <v>1602</v>
      </c>
      <c r="D1789" s="1" t="str">
        <f>IFERROR(__xludf.DUMMYFUNCTION("GOOGLETRANSLATE(C1789, ""zh-CN"", ""en"")"),"Tongren City")</f>
        <v>Tongren City</v>
      </c>
      <c r="E1789" s="1" t="s">
        <v>1647</v>
      </c>
      <c r="F1789" s="1" t="str">
        <f>IFERROR(__xludf.DUMMYFUNCTION("GOOGLETRANSLATE(E1789, ""zh-CN"", ""en"")"),"Bijiang District")</f>
        <v>Bijiang District</v>
      </c>
      <c r="G1789" s="1">
        <v>5.20602E11</v>
      </c>
    </row>
    <row r="1790">
      <c r="A1790" s="1" t="s">
        <v>1596</v>
      </c>
      <c r="B1790" s="1" t="str">
        <f>IFERROR(__xludf.DUMMYFUNCTION("GOOGLETRANSLATE(A1716, ""zh-CN"", ""en"")"),"Tibet Autonomous Region")</f>
        <v>Tibet Autonomous Region</v>
      </c>
      <c r="C1790" s="1" t="s">
        <v>1602</v>
      </c>
      <c r="D1790" s="1" t="str">
        <f>IFERROR(__xludf.DUMMYFUNCTION("GOOGLETRANSLATE(C1790, ""zh-CN"", ""en"")"),"Tongren City")</f>
        <v>Tongren City</v>
      </c>
      <c r="E1790" s="1" t="s">
        <v>1648</v>
      </c>
      <c r="F1790" s="1" t="str">
        <f>IFERROR(__xludf.DUMMYFUNCTION("GOOGLETRANSLATE(E1790, ""zh-CN"", ""en"")"),"Wanshan District")</f>
        <v>Wanshan District</v>
      </c>
      <c r="G1790" s="1">
        <v>5.20603E11</v>
      </c>
    </row>
    <row r="1791">
      <c r="A1791" s="1" t="s">
        <v>1596</v>
      </c>
      <c r="B1791" s="1" t="str">
        <f>IFERROR(__xludf.DUMMYFUNCTION("GOOGLETRANSLATE(A1717, ""zh-CN"", ""en"")"),"Tibet Autonomous Region")</f>
        <v>Tibet Autonomous Region</v>
      </c>
      <c r="C1791" s="1" t="s">
        <v>1602</v>
      </c>
      <c r="D1791" s="1" t="str">
        <f>IFERROR(__xludf.DUMMYFUNCTION("GOOGLETRANSLATE(C1791, ""zh-CN"", ""en"")"),"Tongren City")</f>
        <v>Tongren City</v>
      </c>
      <c r="E1791" s="1" t="s">
        <v>1649</v>
      </c>
      <c r="F1791" s="1" t="str">
        <f>IFERROR(__xludf.DUMMYFUNCTION("GOOGLETRANSLATE(E1791, ""zh-CN"", ""en"")"),"Jiangkou County")</f>
        <v>Jiangkou County</v>
      </c>
      <c r="G1791" s="1">
        <v>5.20621E11</v>
      </c>
    </row>
    <row r="1792">
      <c r="A1792" s="1" t="s">
        <v>1596</v>
      </c>
      <c r="B1792" s="1" t="str">
        <f>IFERROR(__xludf.DUMMYFUNCTION("GOOGLETRANSLATE(A1718, ""zh-CN"", ""en"")"),"Tibet Autonomous Region")</f>
        <v>Tibet Autonomous Region</v>
      </c>
      <c r="C1792" s="1" t="s">
        <v>1602</v>
      </c>
      <c r="D1792" s="1" t="str">
        <f>IFERROR(__xludf.DUMMYFUNCTION("GOOGLETRANSLATE(C1792, ""zh-CN"", ""en"")"),"Tongren City")</f>
        <v>Tongren City</v>
      </c>
      <c r="E1792" s="1" t="s">
        <v>1650</v>
      </c>
      <c r="F1792" s="1" t="str">
        <f>IFERROR(__xludf.DUMMYFUNCTION("GOOGLETRANSLATE(E1792, ""zh-CN"", ""en"")"),"Yuping Dai Autonomous County")</f>
        <v>Yuping Dai Autonomous County</v>
      </c>
      <c r="G1792" s="1">
        <v>5.20622E11</v>
      </c>
    </row>
    <row r="1793">
      <c r="A1793" s="1" t="s">
        <v>1596</v>
      </c>
      <c r="B1793" s="1" t="str">
        <f>IFERROR(__xludf.DUMMYFUNCTION("GOOGLETRANSLATE(A1719, ""zh-CN"", ""en"")"),"Tibet Autonomous Region")</f>
        <v>Tibet Autonomous Region</v>
      </c>
      <c r="C1793" s="1" t="s">
        <v>1602</v>
      </c>
      <c r="D1793" s="1" t="str">
        <f>IFERROR(__xludf.DUMMYFUNCTION("GOOGLETRANSLATE(C1793, ""zh-CN"", ""en"")"),"Tongren City")</f>
        <v>Tongren City</v>
      </c>
      <c r="E1793" s="1" t="s">
        <v>1651</v>
      </c>
      <c r="F1793" s="1" t="str">
        <f>IFERROR(__xludf.DUMMYFUNCTION("GOOGLETRANSLATE(E1793, ""zh-CN"", ""en"")"),"Shizhen County")</f>
        <v>Shizhen County</v>
      </c>
      <c r="G1793" s="1">
        <v>5.20623E11</v>
      </c>
    </row>
    <row r="1794">
      <c r="A1794" s="1" t="s">
        <v>1596</v>
      </c>
      <c r="B1794" s="1" t="str">
        <f>IFERROR(__xludf.DUMMYFUNCTION("GOOGLETRANSLATE(A1720, ""zh-CN"", ""en"")"),"Tibet Autonomous Region")</f>
        <v>Tibet Autonomous Region</v>
      </c>
      <c r="C1794" s="1" t="s">
        <v>1602</v>
      </c>
      <c r="D1794" s="1" t="str">
        <f>IFERROR(__xludf.DUMMYFUNCTION("GOOGLETRANSLATE(C1794, ""zh-CN"", ""en"")"),"Tongren City")</f>
        <v>Tongren City</v>
      </c>
      <c r="E1794" s="1" t="s">
        <v>1652</v>
      </c>
      <c r="F1794" s="1" t="str">
        <f>IFERROR(__xludf.DUMMYFUNCTION("GOOGLETRANSLATE(E1794, ""zh-CN"", ""en"")"),"Sinan County")</f>
        <v>Sinan County</v>
      </c>
      <c r="G1794" s="1">
        <v>5.20624E11</v>
      </c>
    </row>
    <row r="1795">
      <c r="A1795" s="1" t="s">
        <v>1596</v>
      </c>
      <c r="B1795" s="1" t="str">
        <f>IFERROR(__xludf.DUMMYFUNCTION("GOOGLETRANSLATE(A1721, ""zh-CN"", ""en"")"),"Tibet Autonomous Region")</f>
        <v>Tibet Autonomous Region</v>
      </c>
      <c r="C1795" s="1" t="s">
        <v>1602</v>
      </c>
      <c r="D1795" s="1" t="str">
        <f>IFERROR(__xludf.DUMMYFUNCTION("GOOGLETRANSLATE(C1795, ""zh-CN"", ""en"")"),"Tongren City")</f>
        <v>Tongren City</v>
      </c>
      <c r="E1795" s="1" t="s">
        <v>1653</v>
      </c>
      <c r="F1795" s="1" t="str">
        <f>IFERROR(__xludf.DUMMYFUNCTION("GOOGLETRANSLATE(E1795, ""zh-CN"", ""en"")"),"Yinjiang Tujia Miao Autonomous County")</f>
        <v>Yinjiang Tujia Miao Autonomous County</v>
      </c>
      <c r="G1795" s="1">
        <v>5.20625E11</v>
      </c>
    </row>
    <row r="1796">
      <c r="A1796" s="1" t="s">
        <v>1596</v>
      </c>
      <c r="B1796" s="1" t="str">
        <f>IFERROR(__xludf.DUMMYFUNCTION("GOOGLETRANSLATE(A1722, ""zh-CN"", ""en"")"),"Tibet Autonomous Region")</f>
        <v>Tibet Autonomous Region</v>
      </c>
      <c r="C1796" s="1" t="s">
        <v>1602</v>
      </c>
      <c r="D1796" s="1" t="str">
        <f>IFERROR(__xludf.DUMMYFUNCTION("GOOGLETRANSLATE(C1796, ""zh-CN"", ""en"")"),"Tongren City")</f>
        <v>Tongren City</v>
      </c>
      <c r="E1796" s="1" t="s">
        <v>1654</v>
      </c>
      <c r="F1796" s="1" t="str">
        <f>IFERROR(__xludf.DUMMYFUNCTION("GOOGLETRANSLATE(E1796, ""zh-CN"", ""en"")"),"Dejiang County")</f>
        <v>Dejiang County</v>
      </c>
      <c r="G1796" s="1">
        <v>5.20626E11</v>
      </c>
    </row>
    <row r="1797">
      <c r="A1797" s="1" t="s">
        <v>1596</v>
      </c>
      <c r="B1797" s="1" t="str">
        <f>IFERROR(__xludf.DUMMYFUNCTION("GOOGLETRANSLATE(A1723, ""zh-CN"", ""en"")"),"Tibet Autonomous Region")</f>
        <v>Tibet Autonomous Region</v>
      </c>
      <c r="C1797" s="1" t="s">
        <v>1602</v>
      </c>
      <c r="D1797" s="1" t="str">
        <f>IFERROR(__xludf.DUMMYFUNCTION("GOOGLETRANSLATE(C1797, ""zh-CN"", ""en"")"),"Tongren City")</f>
        <v>Tongren City</v>
      </c>
      <c r="E1797" s="1" t="s">
        <v>1655</v>
      </c>
      <c r="F1797" s="1" t="str">
        <f>IFERROR(__xludf.DUMMYFUNCTION("GOOGLETRANSLATE(E1797, ""zh-CN"", ""en"")"),"Along the river and Tujia Autonomous County")</f>
        <v>Along the river and Tujia Autonomous County</v>
      </c>
      <c r="G1797" s="1">
        <v>5.20627E11</v>
      </c>
    </row>
    <row r="1798">
      <c r="A1798" s="1" t="s">
        <v>1596</v>
      </c>
      <c r="B1798" s="1" t="str">
        <f>IFERROR(__xludf.DUMMYFUNCTION("GOOGLETRANSLATE(A1724, ""zh-CN"", ""en"")"),"Tibet Autonomous Region")</f>
        <v>Tibet Autonomous Region</v>
      </c>
      <c r="C1798" s="1" t="s">
        <v>1602</v>
      </c>
      <c r="D1798" s="1" t="str">
        <f>IFERROR(__xludf.DUMMYFUNCTION("GOOGLETRANSLATE(C1798, ""zh-CN"", ""en"")"),"Tongren City")</f>
        <v>Tongren City</v>
      </c>
      <c r="E1798" s="1" t="s">
        <v>1656</v>
      </c>
      <c r="F1798" s="1" t="str">
        <f>IFERROR(__xludf.DUMMYFUNCTION("GOOGLETRANSLATE(E1798, ""zh-CN"", ""en"")"),"Songtao Miao Autonomous County")</f>
        <v>Songtao Miao Autonomous County</v>
      </c>
      <c r="G1798" s="1">
        <v>5.20628E11</v>
      </c>
    </row>
    <row r="1799">
      <c r="A1799" s="1" t="s">
        <v>1596</v>
      </c>
      <c r="B1799" s="1" t="str">
        <f>IFERROR(__xludf.DUMMYFUNCTION("GOOGLETRANSLATE(A1725, ""zh-CN"", ""en"")"),"Tibet Autonomous Region")</f>
        <v>Tibet Autonomous Region</v>
      </c>
      <c r="C1799" s="1" t="s">
        <v>1603</v>
      </c>
      <c r="D1799" s="1" t="str">
        <f>IFERROR(__xludf.DUMMYFUNCTION("GOOGLETRANSLATE(C1799, ""zh-CN"", ""en"")"),"Southwest Guizhou Buyi Miao Autonomous Prefecture")</f>
        <v>Southwest Guizhou Buyi Miao Autonomous Prefecture</v>
      </c>
      <c r="E1799" s="1" t="s">
        <v>1657</v>
      </c>
      <c r="F1799" s="1" t="str">
        <f>IFERROR(__xludf.DUMMYFUNCTION("GOOGLETRANSLATE(E1799, ""zh-CN"", ""en"")"),"Xingyi City")</f>
        <v>Xingyi City</v>
      </c>
      <c r="G1799" s="1">
        <v>5.22301E11</v>
      </c>
    </row>
    <row r="1800">
      <c r="A1800" s="1" t="s">
        <v>1596</v>
      </c>
      <c r="B1800" s="1" t="str">
        <f>IFERROR(__xludf.DUMMYFUNCTION("GOOGLETRANSLATE(A1726, ""zh-CN"", ""en"")"),"Tibet Autonomous Region")</f>
        <v>Tibet Autonomous Region</v>
      </c>
      <c r="C1800" s="1" t="s">
        <v>1603</v>
      </c>
      <c r="D1800" s="1" t="str">
        <f>IFERROR(__xludf.DUMMYFUNCTION("GOOGLETRANSLATE(C1800, ""zh-CN"", ""en"")"),"Southwest Guizhou Buyi Miao Autonomous Prefecture")</f>
        <v>Southwest Guizhou Buyi Miao Autonomous Prefecture</v>
      </c>
      <c r="E1800" s="1" t="s">
        <v>1658</v>
      </c>
      <c r="F1800" s="1" t="str">
        <f>IFERROR(__xludf.DUMMYFUNCTION("GOOGLETRANSLATE(E1800, ""zh-CN"", ""en"")"),"Xingren City")</f>
        <v>Xingren City</v>
      </c>
      <c r="G1800" s="1">
        <v>5.22302E11</v>
      </c>
    </row>
    <row r="1801">
      <c r="A1801" s="1" t="s">
        <v>1596</v>
      </c>
      <c r="B1801" s="1" t="str">
        <f>IFERROR(__xludf.DUMMYFUNCTION("GOOGLETRANSLATE(A1727, ""zh-CN"", ""en"")"),"Tibet Autonomous Region")</f>
        <v>Tibet Autonomous Region</v>
      </c>
      <c r="C1801" s="1" t="s">
        <v>1603</v>
      </c>
      <c r="D1801" s="1" t="str">
        <f>IFERROR(__xludf.DUMMYFUNCTION("GOOGLETRANSLATE(C1801, ""zh-CN"", ""en"")"),"Southwest Guizhou Buyi Miao Autonomous Prefecture")</f>
        <v>Southwest Guizhou Buyi Miao Autonomous Prefecture</v>
      </c>
      <c r="E1801" s="1" t="s">
        <v>1659</v>
      </c>
      <c r="F1801" s="1" t="str">
        <f>IFERROR(__xludf.DUMMYFUNCTION("GOOGLETRANSLATE(E1801, ""zh-CN"", ""en"")"),"Putian County")</f>
        <v>Putian County</v>
      </c>
      <c r="G1801" s="1">
        <v>5.22323E11</v>
      </c>
    </row>
    <row r="1802">
      <c r="A1802" s="1" t="s">
        <v>1596</v>
      </c>
      <c r="B1802" s="1" t="str">
        <f>IFERROR(__xludf.DUMMYFUNCTION("GOOGLETRANSLATE(A1728, ""zh-CN"", ""en"")"),"Tibet Autonomous Region")</f>
        <v>Tibet Autonomous Region</v>
      </c>
      <c r="C1802" s="1" t="s">
        <v>1603</v>
      </c>
      <c r="D1802" s="1" t="str">
        <f>IFERROR(__xludf.DUMMYFUNCTION("GOOGLETRANSLATE(C1802, ""zh-CN"", ""en"")"),"Southwest Guizhou Buyi Miao Autonomous Prefecture")</f>
        <v>Southwest Guizhou Buyi Miao Autonomous Prefecture</v>
      </c>
      <c r="E1802" s="1" t="s">
        <v>1660</v>
      </c>
      <c r="F1802" s="1" t="str">
        <f>IFERROR(__xludf.DUMMYFUNCTION("GOOGLETRANSLATE(E1802, ""zh-CN"", ""en"")"),"Qinglong County")</f>
        <v>Qinglong County</v>
      </c>
      <c r="G1802" s="1">
        <v>5.22324E11</v>
      </c>
    </row>
    <row r="1803">
      <c r="A1803" s="1" t="s">
        <v>1596</v>
      </c>
      <c r="B1803" s="1" t="str">
        <f>IFERROR(__xludf.DUMMYFUNCTION("GOOGLETRANSLATE(A1729, ""zh-CN"", ""en"")"),"Tibet Autonomous Region")</f>
        <v>Tibet Autonomous Region</v>
      </c>
      <c r="C1803" s="1" t="s">
        <v>1603</v>
      </c>
      <c r="D1803" s="1" t="str">
        <f>IFERROR(__xludf.DUMMYFUNCTION("GOOGLETRANSLATE(C1803, ""zh-CN"", ""en"")"),"Southwest Guizhou Buyi Miao Autonomous Prefecture")</f>
        <v>Southwest Guizhou Buyi Miao Autonomous Prefecture</v>
      </c>
      <c r="E1803" s="1" t="s">
        <v>1661</v>
      </c>
      <c r="F1803" s="1" t="str">
        <f>IFERROR(__xludf.DUMMYFUNCTION("GOOGLETRANSLATE(E1803, ""zh-CN"", ""en"")"),"Zhenfeng County")</f>
        <v>Zhenfeng County</v>
      </c>
      <c r="G1803" s="1">
        <v>5.22325E11</v>
      </c>
    </row>
    <row r="1804">
      <c r="A1804" s="1" t="s">
        <v>1596</v>
      </c>
      <c r="B1804" s="1" t="str">
        <f>IFERROR(__xludf.DUMMYFUNCTION("GOOGLETRANSLATE(A1730, ""zh-CN"", ""en"")"),"Tibet Autonomous Region")</f>
        <v>Tibet Autonomous Region</v>
      </c>
      <c r="C1804" s="1" t="s">
        <v>1603</v>
      </c>
      <c r="D1804" s="1" t="str">
        <f>IFERROR(__xludf.DUMMYFUNCTION("GOOGLETRANSLATE(C1804, ""zh-CN"", ""en"")"),"Southwest Guizhou Buyi Miao Autonomous Prefecture")</f>
        <v>Southwest Guizhou Buyi Miao Autonomous Prefecture</v>
      </c>
      <c r="E1804" s="1" t="s">
        <v>1662</v>
      </c>
      <c r="F1804" s="1" t="str">
        <f>IFERROR(__xludf.DUMMYFUNCTION("GOOGLETRANSLATE(E1804, ""zh-CN"", ""en"")"),"Wangmo County")</f>
        <v>Wangmo County</v>
      </c>
      <c r="G1804" s="1">
        <v>5.22326E11</v>
      </c>
    </row>
    <row r="1805">
      <c r="A1805" s="1" t="s">
        <v>1596</v>
      </c>
      <c r="B1805" s="1" t="str">
        <f>IFERROR(__xludf.DUMMYFUNCTION("GOOGLETRANSLATE(A1731, ""zh-CN"", ""en"")"),"Tibet Autonomous Region")</f>
        <v>Tibet Autonomous Region</v>
      </c>
      <c r="C1805" s="1" t="s">
        <v>1603</v>
      </c>
      <c r="D1805" s="1" t="str">
        <f>IFERROR(__xludf.DUMMYFUNCTION("GOOGLETRANSLATE(C1805, ""zh-CN"", ""en"")"),"Southwest Guizhou Buyi Miao Autonomous Prefecture")</f>
        <v>Southwest Guizhou Buyi Miao Autonomous Prefecture</v>
      </c>
      <c r="E1805" s="1" t="s">
        <v>1663</v>
      </c>
      <c r="F1805" s="1" t="str">
        <f>IFERROR(__xludf.DUMMYFUNCTION("GOOGLETRANSLATE(E1805, ""zh-CN"", ""en"")"),"Book of Heng County")</f>
        <v>Book of Heng County</v>
      </c>
      <c r="G1805" s="1">
        <v>5.22327E11</v>
      </c>
    </row>
    <row r="1806">
      <c r="A1806" s="1" t="s">
        <v>1596</v>
      </c>
      <c r="B1806" s="1" t="str">
        <f>IFERROR(__xludf.DUMMYFUNCTION("GOOGLETRANSLATE(A1732, ""zh-CN"", ""en"")"),"Guizhou Province")</f>
        <v>Guizhou Province</v>
      </c>
      <c r="C1806" s="1" t="s">
        <v>1603</v>
      </c>
      <c r="D1806" s="1" t="str">
        <f>IFERROR(__xludf.DUMMYFUNCTION("GOOGLETRANSLATE(C1806, ""zh-CN"", ""en"")"),"Southwest Guizhou Buyi Miao Autonomous Prefecture")</f>
        <v>Southwest Guizhou Buyi Miao Autonomous Prefecture</v>
      </c>
      <c r="E1806" s="1" t="s">
        <v>1664</v>
      </c>
      <c r="F1806" s="1" t="str">
        <f>IFERROR(__xludf.DUMMYFUNCTION("GOOGLETRANSLATE(E1806, ""zh-CN"", ""en"")"),"Anlong County")</f>
        <v>Anlong County</v>
      </c>
      <c r="G1806" s="1">
        <v>5.22328E11</v>
      </c>
    </row>
    <row r="1807">
      <c r="A1807" s="1" t="s">
        <v>1596</v>
      </c>
      <c r="B1807" s="1" t="str">
        <f>IFERROR(__xludf.DUMMYFUNCTION("GOOGLETRANSLATE(A1733, ""zh-CN"", ""en"")"),"Guizhou Province")</f>
        <v>Guizhou Province</v>
      </c>
      <c r="C1807" s="1" t="s">
        <v>1604</v>
      </c>
      <c r="D1807" s="1" t="str">
        <f>IFERROR(__xludf.DUMMYFUNCTION("GOOGLETRANSLATE(C1807, ""zh-CN"", ""en"")"),"Southeast Guizhou Miao and Dai Autonomous Prefecture")</f>
        <v>Southeast Guizhou Miao and Dai Autonomous Prefecture</v>
      </c>
      <c r="E1807" s="1" t="s">
        <v>1665</v>
      </c>
      <c r="F1807" s="1" t="str">
        <f>IFERROR(__xludf.DUMMYFUNCTION("GOOGLETRANSLATE(E1807, ""zh-CN"", ""en"")"),"Kaili City")</f>
        <v>Kaili City</v>
      </c>
      <c r="G1807" s="1">
        <v>5.22601E11</v>
      </c>
    </row>
    <row r="1808">
      <c r="A1808" s="1" t="s">
        <v>1596</v>
      </c>
      <c r="B1808" s="1" t="str">
        <f>IFERROR(__xludf.DUMMYFUNCTION("GOOGLETRANSLATE(A1734, ""zh-CN"", ""en"")"),"Guizhou Province")</f>
        <v>Guizhou Province</v>
      </c>
      <c r="C1808" s="1" t="s">
        <v>1604</v>
      </c>
      <c r="D1808" s="1" t="str">
        <f>IFERROR(__xludf.DUMMYFUNCTION("GOOGLETRANSLATE(C1808, ""zh-CN"", ""en"")"),"Southeast Guizhou Miao and Dai Autonomous Prefecture")</f>
        <v>Southeast Guizhou Miao and Dai Autonomous Prefecture</v>
      </c>
      <c r="E1808" s="1" t="s">
        <v>1666</v>
      </c>
      <c r="F1808" s="1" t="str">
        <f>IFERROR(__xludf.DUMMYFUNCTION("GOOGLETRANSLATE(E1808, ""zh-CN"", ""en"")"),"Huangping County")</f>
        <v>Huangping County</v>
      </c>
      <c r="G1808" s="1">
        <v>5.22622E11</v>
      </c>
    </row>
    <row r="1809">
      <c r="A1809" s="1" t="s">
        <v>1596</v>
      </c>
      <c r="B1809" s="1" t="str">
        <f>IFERROR(__xludf.DUMMYFUNCTION("GOOGLETRANSLATE(A1735, ""zh-CN"", ""en"")"),"Guizhou Province")</f>
        <v>Guizhou Province</v>
      </c>
      <c r="C1809" s="1" t="s">
        <v>1604</v>
      </c>
      <c r="D1809" s="1" t="str">
        <f>IFERROR(__xludf.DUMMYFUNCTION("GOOGLETRANSLATE(C1809, ""zh-CN"", ""en"")"),"Southeast Guizhou Miao and Dai Autonomous Prefecture")</f>
        <v>Southeast Guizhou Miao and Dai Autonomous Prefecture</v>
      </c>
      <c r="E1809" s="1" t="s">
        <v>1667</v>
      </c>
      <c r="F1809" s="1" t="str">
        <f>IFERROR(__xludf.DUMMYFUNCTION("GOOGLETRANSLATE(E1809, ""zh-CN"", ""en"")"),"Shi Bing County")</f>
        <v>Shi Bing County</v>
      </c>
      <c r="G1809" s="1">
        <v>5.22623E11</v>
      </c>
    </row>
    <row r="1810">
      <c r="A1810" s="1" t="s">
        <v>1596</v>
      </c>
      <c r="B1810" s="1" t="str">
        <f>IFERROR(__xludf.DUMMYFUNCTION("GOOGLETRANSLATE(A1736, ""zh-CN"", ""en"")"),"Guizhou Province")</f>
        <v>Guizhou Province</v>
      </c>
      <c r="C1810" s="1" t="s">
        <v>1604</v>
      </c>
      <c r="D1810" s="1" t="str">
        <f>IFERROR(__xludf.DUMMYFUNCTION("GOOGLETRANSLATE(C1810, ""zh-CN"", ""en"")"),"Southeast Guizhou Miao and Dai Autonomous Prefecture")</f>
        <v>Southeast Guizhou Miao and Dai Autonomous Prefecture</v>
      </c>
      <c r="E1810" s="1" t="s">
        <v>1668</v>
      </c>
      <c r="F1810" s="1" t="str">
        <f>IFERROR(__xludf.DUMMYFUNCTION("GOOGLETRANSLATE(E1810, ""zh-CN"", ""en"")"),"Sansui County")</f>
        <v>Sansui County</v>
      </c>
      <c r="G1810" s="1">
        <v>5.22624E11</v>
      </c>
    </row>
    <row r="1811">
      <c r="A1811" s="1" t="s">
        <v>1596</v>
      </c>
      <c r="B1811" s="1" t="str">
        <f>IFERROR(__xludf.DUMMYFUNCTION("GOOGLETRANSLATE(A1737, ""zh-CN"", ""en"")"),"Guizhou Province")</f>
        <v>Guizhou Province</v>
      </c>
      <c r="C1811" s="1" t="s">
        <v>1604</v>
      </c>
      <c r="D1811" s="1" t="str">
        <f>IFERROR(__xludf.DUMMYFUNCTION("GOOGLETRANSLATE(C1811, ""zh-CN"", ""en"")"),"Southeast Guizhou Miao and Dai Autonomous Prefecture")</f>
        <v>Southeast Guizhou Miao and Dai Autonomous Prefecture</v>
      </c>
      <c r="E1811" s="1" t="s">
        <v>1669</v>
      </c>
      <c r="F1811" s="1" t="str">
        <f>IFERROR(__xludf.DUMMYFUNCTION("GOOGLETRANSLATE(E1811, ""zh-CN"", ""en"")"),"Zhenyuan County")</f>
        <v>Zhenyuan County</v>
      </c>
      <c r="G1811" s="1">
        <v>5.22625E11</v>
      </c>
    </row>
    <row r="1812">
      <c r="A1812" s="1" t="s">
        <v>1596</v>
      </c>
      <c r="B1812" s="1" t="str">
        <f>IFERROR(__xludf.DUMMYFUNCTION("GOOGLETRANSLATE(A1738, ""zh-CN"", ""en"")"),"Guizhou Province")</f>
        <v>Guizhou Province</v>
      </c>
      <c r="C1812" s="1" t="s">
        <v>1604</v>
      </c>
      <c r="D1812" s="1" t="str">
        <f>IFERROR(__xludf.DUMMYFUNCTION("GOOGLETRANSLATE(C1812, ""zh-CN"", ""en"")"),"Southeast Guizhou Miao and Dai Autonomous Prefecture")</f>
        <v>Southeast Guizhou Miao and Dai Autonomous Prefecture</v>
      </c>
      <c r="E1812" s="1" t="s">
        <v>1670</v>
      </c>
      <c r="F1812" s="1" t="str">
        <f>IFERROR(__xludf.DUMMYFUNCTION("GOOGLETRANSLATE(E1812, ""zh-CN"", ""en"")"),"Cen Gong County")</f>
        <v>Cen Gong County</v>
      </c>
      <c r="G1812" s="1">
        <v>5.22626E11</v>
      </c>
    </row>
    <row r="1813">
      <c r="A1813" s="1" t="s">
        <v>1596</v>
      </c>
      <c r="B1813" s="1" t="str">
        <f>IFERROR(__xludf.DUMMYFUNCTION("GOOGLETRANSLATE(A1739, ""zh-CN"", ""en"")"),"Guizhou Province")</f>
        <v>Guizhou Province</v>
      </c>
      <c r="C1813" s="1" t="s">
        <v>1604</v>
      </c>
      <c r="D1813" s="1" t="str">
        <f>IFERROR(__xludf.DUMMYFUNCTION("GOOGLETRANSLATE(C1813, ""zh-CN"", ""en"")"),"Southeast Guizhou Miao and Dai Autonomous Prefecture")</f>
        <v>Southeast Guizhou Miao and Dai Autonomous Prefecture</v>
      </c>
      <c r="E1813" s="1" t="s">
        <v>1671</v>
      </c>
      <c r="F1813" s="1" t="str">
        <f>IFERROR(__xludf.DUMMYFUNCTION("GOOGLETRANSLATE(E1813, ""zh-CN"", ""en"")"),"Tianzhu County")</f>
        <v>Tianzhu County</v>
      </c>
      <c r="G1813" s="1">
        <v>5.22627E11</v>
      </c>
    </row>
    <row r="1814">
      <c r="A1814" s="1" t="s">
        <v>1596</v>
      </c>
      <c r="B1814" s="1" t="str">
        <f>IFERROR(__xludf.DUMMYFUNCTION("GOOGLETRANSLATE(A1740, ""zh-CN"", ""en"")"),"Guizhou Province")</f>
        <v>Guizhou Province</v>
      </c>
      <c r="C1814" s="1" t="s">
        <v>1604</v>
      </c>
      <c r="D1814" s="1" t="str">
        <f>IFERROR(__xludf.DUMMYFUNCTION("GOOGLETRANSLATE(C1814, ""zh-CN"", ""en"")"),"Southeast Guizhou Miao and Dai Autonomous Prefecture")</f>
        <v>Southeast Guizhou Miao and Dai Autonomous Prefecture</v>
      </c>
      <c r="E1814" s="1" t="s">
        <v>1672</v>
      </c>
      <c r="F1814" s="1" t="str">
        <f>IFERROR(__xludf.DUMMYFUNCTION("GOOGLETRANSLATE(E1814, ""zh-CN"", ""en"")"),"Jinping County")</f>
        <v>Jinping County</v>
      </c>
      <c r="G1814" s="1">
        <v>5.22628E11</v>
      </c>
    </row>
    <row r="1815">
      <c r="A1815" s="1" t="s">
        <v>1596</v>
      </c>
      <c r="B1815" s="1" t="str">
        <f>IFERROR(__xludf.DUMMYFUNCTION("GOOGLETRANSLATE(A1741, ""zh-CN"", ""en"")"),"Guizhou Province")</f>
        <v>Guizhou Province</v>
      </c>
      <c r="C1815" s="1" t="s">
        <v>1604</v>
      </c>
      <c r="D1815" s="1" t="str">
        <f>IFERROR(__xludf.DUMMYFUNCTION("GOOGLETRANSLATE(C1815, ""zh-CN"", ""en"")"),"Southeast Guizhou Miao and Dai Autonomous Prefecture")</f>
        <v>Southeast Guizhou Miao and Dai Autonomous Prefecture</v>
      </c>
      <c r="E1815" s="1" t="s">
        <v>1673</v>
      </c>
      <c r="F1815" s="1" t="str">
        <f>IFERROR(__xludf.DUMMYFUNCTION("GOOGLETRANSLATE(E1815, ""zh-CN"", ""en"")"),"Jianhe County")</f>
        <v>Jianhe County</v>
      </c>
      <c r="G1815" s="1">
        <v>5.22629E11</v>
      </c>
    </row>
    <row r="1816">
      <c r="A1816" s="1" t="s">
        <v>1596</v>
      </c>
      <c r="B1816" s="1" t="str">
        <f>IFERROR(__xludf.DUMMYFUNCTION("GOOGLETRANSLATE(A1742, ""zh-CN"", ""en"")"),"Guizhou Province")</f>
        <v>Guizhou Province</v>
      </c>
      <c r="C1816" s="1" t="s">
        <v>1604</v>
      </c>
      <c r="D1816" s="1" t="str">
        <f>IFERROR(__xludf.DUMMYFUNCTION("GOOGLETRANSLATE(C1816, ""zh-CN"", ""en"")"),"Southeast Guizhou Miao and Dai Autonomous Prefecture")</f>
        <v>Southeast Guizhou Miao and Dai Autonomous Prefecture</v>
      </c>
      <c r="E1816" s="1" t="s">
        <v>1674</v>
      </c>
      <c r="F1816" s="1" t="str">
        <f>IFERROR(__xludf.DUMMYFUNCTION("GOOGLETRANSLATE(E1816, ""zh-CN"", ""en"")"),"Taijiang County")</f>
        <v>Taijiang County</v>
      </c>
      <c r="G1816" s="1">
        <v>5.2263E11</v>
      </c>
    </row>
    <row r="1817">
      <c r="A1817" s="1" t="s">
        <v>1596</v>
      </c>
      <c r="B1817" s="1" t="str">
        <f>IFERROR(__xludf.DUMMYFUNCTION("GOOGLETRANSLATE(A1743, ""zh-CN"", ""en"")"),"Guizhou Province")</f>
        <v>Guizhou Province</v>
      </c>
      <c r="C1817" s="1" t="s">
        <v>1604</v>
      </c>
      <c r="D1817" s="1" t="str">
        <f>IFERROR(__xludf.DUMMYFUNCTION("GOOGLETRANSLATE(C1817, ""zh-CN"", ""en"")"),"Southeast Guizhou Miao and Dai Autonomous Prefecture")</f>
        <v>Southeast Guizhou Miao and Dai Autonomous Prefecture</v>
      </c>
      <c r="E1817" s="1" t="s">
        <v>1675</v>
      </c>
      <c r="F1817" s="1" t="str">
        <f>IFERROR(__xludf.DUMMYFUNCTION("GOOGLETRANSLATE(E1817, ""zh-CN"", ""en"")"),"Liping County")</f>
        <v>Liping County</v>
      </c>
      <c r="G1817" s="1">
        <v>5.22631E11</v>
      </c>
    </row>
    <row r="1818">
      <c r="A1818" s="1" t="s">
        <v>1596</v>
      </c>
      <c r="B1818" s="1" t="str">
        <f>IFERROR(__xludf.DUMMYFUNCTION("GOOGLETRANSLATE(A1744, ""zh-CN"", ""en"")"),"Guizhou Province")</f>
        <v>Guizhou Province</v>
      </c>
      <c r="C1818" s="1" t="s">
        <v>1604</v>
      </c>
      <c r="D1818" s="1" t="str">
        <f>IFERROR(__xludf.DUMMYFUNCTION("GOOGLETRANSLATE(C1818, ""zh-CN"", ""en"")"),"Southeast Guizhou Miao and Dai Autonomous Prefecture")</f>
        <v>Southeast Guizhou Miao and Dai Autonomous Prefecture</v>
      </c>
      <c r="E1818" s="1" t="s">
        <v>1676</v>
      </c>
      <c r="F1818" s="1" t="str">
        <f>IFERROR(__xludf.DUMMYFUNCTION("GOOGLETRANSLATE(E1818, ""zh-CN"", ""en"")"),"Rongjiang County")</f>
        <v>Rongjiang County</v>
      </c>
      <c r="G1818" s="1">
        <v>5.22632E11</v>
      </c>
    </row>
    <row r="1819">
      <c r="A1819" s="1" t="s">
        <v>1596</v>
      </c>
      <c r="B1819" s="1" t="str">
        <f>IFERROR(__xludf.DUMMYFUNCTION("GOOGLETRANSLATE(A1745, ""zh-CN"", ""en"")"),"Guizhou Province")</f>
        <v>Guizhou Province</v>
      </c>
      <c r="C1819" s="1" t="s">
        <v>1604</v>
      </c>
      <c r="D1819" s="1" t="str">
        <f>IFERROR(__xludf.DUMMYFUNCTION("GOOGLETRANSLATE(C1819, ""zh-CN"", ""en"")"),"Southeast Guizhou Miao and Dai Autonomous Prefecture")</f>
        <v>Southeast Guizhou Miao and Dai Autonomous Prefecture</v>
      </c>
      <c r="E1819" s="1" t="s">
        <v>1677</v>
      </c>
      <c r="F1819" s="1" t="str">
        <f>IFERROR(__xludf.DUMMYFUNCTION("GOOGLETRANSLATE(E1819, ""zh-CN"", ""en"")"),"Congjiang County")</f>
        <v>Congjiang County</v>
      </c>
      <c r="G1819" s="1">
        <v>5.22633E11</v>
      </c>
    </row>
    <row r="1820">
      <c r="A1820" s="1" t="s">
        <v>1596</v>
      </c>
      <c r="B1820" s="1" t="str">
        <f>IFERROR(__xludf.DUMMYFUNCTION("GOOGLETRANSLATE(A1746, ""zh-CN"", ""en"")"),"Guizhou Province")</f>
        <v>Guizhou Province</v>
      </c>
      <c r="C1820" s="1" t="s">
        <v>1604</v>
      </c>
      <c r="D1820" s="1" t="str">
        <f>IFERROR(__xludf.DUMMYFUNCTION("GOOGLETRANSLATE(C1820, ""zh-CN"", ""en"")"),"Southeast Guizhou Miao and Dai Autonomous Prefecture")</f>
        <v>Southeast Guizhou Miao and Dai Autonomous Prefecture</v>
      </c>
      <c r="E1820" s="1" t="s">
        <v>1678</v>
      </c>
      <c r="F1820" s="1" t="str">
        <f>IFERROR(__xludf.DUMMYFUNCTION("GOOGLETRANSLATE(E1820, ""zh-CN"", ""en"")"),"Leishan County")</f>
        <v>Leishan County</v>
      </c>
      <c r="G1820" s="1">
        <v>5.22634E11</v>
      </c>
    </row>
    <row r="1821">
      <c r="A1821" s="1" t="s">
        <v>1596</v>
      </c>
      <c r="B1821" s="1" t="str">
        <f>IFERROR(__xludf.DUMMYFUNCTION("GOOGLETRANSLATE(A1747, ""zh-CN"", ""en"")"),"Guizhou Province")</f>
        <v>Guizhou Province</v>
      </c>
      <c r="C1821" s="1" t="s">
        <v>1604</v>
      </c>
      <c r="D1821" s="1" t="str">
        <f>IFERROR(__xludf.DUMMYFUNCTION("GOOGLETRANSLATE(C1821, ""zh-CN"", ""en"")"),"Southeast Guizhou Miao and Dai Autonomous Prefecture")</f>
        <v>Southeast Guizhou Miao and Dai Autonomous Prefecture</v>
      </c>
      <c r="E1821" s="1" t="s">
        <v>1679</v>
      </c>
      <c r="F1821" s="1" t="str">
        <f>IFERROR(__xludf.DUMMYFUNCTION("GOOGLETRANSLATE(E1821, ""zh-CN"", ""en"")"),"Majiang County")</f>
        <v>Majiang County</v>
      </c>
      <c r="G1821" s="1">
        <v>5.22635E11</v>
      </c>
    </row>
    <row r="1822">
      <c r="A1822" s="1" t="s">
        <v>1596</v>
      </c>
      <c r="B1822" s="1" t="str">
        <f>IFERROR(__xludf.DUMMYFUNCTION("GOOGLETRANSLATE(A1748, ""zh-CN"", ""en"")"),"Guizhou Province")</f>
        <v>Guizhou Province</v>
      </c>
      <c r="C1822" s="1" t="s">
        <v>1604</v>
      </c>
      <c r="D1822" s="1" t="str">
        <f>IFERROR(__xludf.DUMMYFUNCTION("GOOGLETRANSLATE(C1822, ""zh-CN"", ""en"")"),"Southeast Guizhou Miao and Dai Autonomous Prefecture")</f>
        <v>Southeast Guizhou Miao and Dai Autonomous Prefecture</v>
      </c>
      <c r="E1822" s="1" t="s">
        <v>1680</v>
      </c>
      <c r="F1822" s="1" t="str">
        <f>IFERROR(__xludf.DUMMYFUNCTION("GOOGLETRANSLATE(E1822, ""zh-CN"", ""en"")"),"Danzhai County")</f>
        <v>Danzhai County</v>
      </c>
      <c r="G1822" s="1">
        <v>5.22636E11</v>
      </c>
    </row>
    <row r="1823">
      <c r="A1823" s="1" t="s">
        <v>1596</v>
      </c>
      <c r="B1823" s="1" t="str">
        <f>IFERROR(__xludf.DUMMYFUNCTION("GOOGLETRANSLATE(A1749, ""zh-CN"", ""en"")"),"Guizhou Province")</f>
        <v>Guizhou Province</v>
      </c>
      <c r="C1823" s="1" t="s">
        <v>1605</v>
      </c>
      <c r="D1823" s="1" t="str">
        <f>IFERROR(__xludf.DUMMYFUNCTION("GOOGLETRANSLATE(C1823, ""zh-CN"", ""en"")"),"Qiannan Buyi Miao Autonomous Prefecture")</f>
        <v>Qiannan Buyi Miao Autonomous Prefecture</v>
      </c>
      <c r="E1823" s="1" t="s">
        <v>1681</v>
      </c>
      <c r="F1823" s="1" t="str">
        <f>IFERROR(__xludf.DUMMYFUNCTION("GOOGLETRANSLATE(E1823, ""zh-CN"", ""en"")"),"Duyun City")</f>
        <v>Duyun City</v>
      </c>
      <c r="G1823" s="1">
        <v>5.22701E11</v>
      </c>
    </row>
    <row r="1824">
      <c r="A1824" s="1" t="s">
        <v>1596</v>
      </c>
      <c r="B1824" s="1" t="str">
        <f>IFERROR(__xludf.DUMMYFUNCTION("GOOGLETRANSLATE(A1750, ""zh-CN"", ""en"")"),"Guizhou Province")</f>
        <v>Guizhou Province</v>
      </c>
      <c r="C1824" s="1" t="s">
        <v>1605</v>
      </c>
      <c r="D1824" s="1" t="str">
        <f>IFERROR(__xludf.DUMMYFUNCTION("GOOGLETRANSLATE(C1824, ""zh-CN"", ""en"")"),"Qiannan Buyi Miao Autonomous Prefecture")</f>
        <v>Qiannan Buyi Miao Autonomous Prefecture</v>
      </c>
      <c r="E1824" s="1" t="s">
        <v>1682</v>
      </c>
      <c r="F1824" s="1" t="str">
        <f>IFERROR(__xludf.DUMMYFUNCTION("GOOGLETRANSLATE(E1824, ""zh-CN"", ""en"")"),"Fuquan City")</f>
        <v>Fuquan City</v>
      </c>
      <c r="G1824" s="1">
        <v>5.22702E11</v>
      </c>
    </row>
    <row r="1825">
      <c r="A1825" s="1" t="s">
        <v>1596</v>
      </c>
      <c r="B1825" s="1" t="str">
        <f>IFERROR(__xludf.DUMMYFUNCTION("GOOGLETRANSLATE(A1751, ""zh-CN"", ""en"")"),"Guizhou Province")</f>
        <v>Guizhou Province</v>
      </c>
      <c r="C1825" s="1" t="s">
        <v>1605</v>
      </c>
      <c r="D1825" s="1" t="str">
        <f>IFERROR(__xludf.DUMMYFUNCTION("GOOGLETRANSLATE(C1825, ""zh-CN"", ""en"")"),"Qiannan Buyi Miao Autonomous Prefecture")</f>
        <v>Qiannan Buyi Miao Autonomous Prefecture</v>
      </c>
      <c r="E1825" s="1" t="s">
        <v>1683</v>
      </c>
      <c r="F1825" s="1" t="str">
        <f>IFERROR(__xludf.DUMMYFUNCTION("GOOGLETRANSLATE(E1825, ""zh-CN"", ""en"")"),"Libo County")</f>
        <v>Libo County</v>
      </c>
      <c r="G1825" s="1">
        <v>5.22722E11</v>
      </c>
    </row>
    <row r="1826">
      <c r="A1826" s="1" t="s">
        <v>1596</v>
      </c>
      <c r="B1826" s="1" t="str">
        <f>IFERROR(__xludf.DUMMYFUNCTION("GOOGLETRANSLATE(A1752, ""zh-CN"", ""en"")"),"Guizhou Province")</f>
        <v>Guizhou Province</v>
      </c>
      <c r="C1826" s="1" t="s">
        <v>1605</v>
      </c>
      <c r="D1826" s="1" t="str">
        <f>IFERROR(__xludf.DUMMYFUNCTION("GOOGLETRANSLATE(C1826, ""zh-CN"", ""en"")"),"Qiannan Buyi Miao Autonomous Prefecture")</f>
        <v>Qiannan Buyi Miao Autonomous Prefecture</v>
      </c>
      <c r="E1826" s="1" t="s">
        <v>1684</v>
      </c>
      <c r="F1826" s="1" t="str">
        <f>IFERROR(__xludf.DUMMYFUNCTION("GOOGLETRANSLATE(E1826, ""zh-CN"", ""en"")"),"Guiding County")</f>
        <v>Guiding County</v>
      </c>
      <c r="G1826" s="1">
        <v>5.22723E11</v>
      </c>
    </row>
    <row r="1827">
      <c r="A1827" s="1" t="s">
        <v>1596</v>
      </c>
      <c r="B1827" s="1" t="str">
        <f>IFERROR(__xludf.DUMMYFUNCTION("GOOGLETRANSLATE(A1753, ""zh-CN"", ""en"")"),"Guizhou Province")</f>
        <v>Guizhou Province</v>
      </c>
      <c r="C1827" s="1" t="s">
        <v>1605</v>
      </c>
      <c r="D1827" s="1" t="str">
        <f>IFERROR(__xludf.DUMMYFUNCTION("GOOGLETRANSLATE(C1827, ""zh-CN"", ""en"")"),"Qiannan Buyi Miao Autonomous Prefecture")</f>
        <v>Qiannan Buyi Miao Autonomous Prefecture</v>
      </c>
      <c r="E1827" s="1" t="s">
        <v>1685</v>
      </c>
      <c r="F1827" s="1" t="str">
        <f>IFERROR(__xludf.DUMMYFUNCTION("GOOGLETRANSLATE(E1827, ""zh-CN"", ""en"")"),"Junan County")</f>
        <v>Junan County</v>
      </c>
      <c r="G1827" s="1">
        <v>5.22725E11</v>
      </c>
    </row>
    <row r="1828">
      <c r="A1828" s="1" t="s">
        <v>1596</v>
      </c>
      <c r="B1828" s="1" t="str">
        <f>IFERROR(__xludf.DUMMYFUNCTION("GOOGLETRANSLATE(A1754, ""zh-CN"", ""en"")"),"Guizhou Province")</f>
        <v>Guizhou Province</v>
      </c>
      <c r="C1828" s="1" t="s">
        <v>1605</v>
      </c>
      <c r="D1828" s="1" t="str">
        <f>IFERROR(__xludf.DUMMYFUNCTION("GOOGLETRANSLATE(C1828, ""zh-CN"", ""en"")"),"Qiannan Buyi Miao Autonomous Prefecture")</f>
        <v>Qiannan Buyi Miao Autonomous Prefecture</v>
      </c>
      <c r="E1828" s="1" t="s">
        <v>1686</v>
      </c>
      <c r="F1828" s="1" t="str">
        <f>IFERROR(__xludf.DUMMYFUNCTION("GOOGLETRANSLATE(E1828, ""zh-CN"", ""en"")"),"Dushan County")</f>
        <v>Dushan County</v>
      </c>
      <c r="G1828" s="1">
        <v>5.22726E11</v>
      </c>
    </row>
    <row r="1829">
      <c r="A1829" s="1" t="s">
        <v>1596</v>
      </c>
      <c r="B1829" s="1" t="str">
        <f>IFERROR(__xludf.DUMMYFUNCTION("GOOGLETRANSLATE(A1755, ""zh-CN"", ""en"")"),"Guizhou Province")</f>
        <v>Guizhou Province</v>
      </c>
      <c r="C1829" s="1" t="s">
        <v>1605</v>
      </c>
      <c r="D1829" s="1" t="str">
        <f>IFERROR(__xludf.DUMMYFUNCTION("GOOGLETRANSLATE(C1829, ""zh-CN"", ""en"")"),"Qiannan Buyi Miao Autonomous Prefecture")</f>
        <v>Qiannan Buyi Miao Autonomous Prefecture</v>
      </c>
      <c r="E1829" s="1" t="s">
        <v>1687</v>
      </c>
      <c r="F1829" s="1" t="str">
        <f>IFERROR(__xludf.DUMMYFUNCTION("GOOGLETRANSLATE(E1829, ""zh-CN"", ""en"")"),"Pingtang County")</f>
        <v>Pingtang County</v>
      </c>
      <c r="G1829" s="1">
        <v>5.22727E11</v>
      </c>
    </row>
    <row r="1830">
      <c r="A1830" s="1" t="s">
        <v>1596</v>
      </c>
      <c r="B1830" s="1" t="str">
        <f>IFERROR(__xludf.DUMMYFUNCTION("GOOGLETRANSLATE(A1756, ""zh-CN"", ""en"")"),"Guizhou Province")</f>
        <v>Guizhou Province</v>
      </c>
      <c r="C1830" s="1" t="s">
        <v>1605</v>
      </c>
      <c r="D1830" s="1" t="str">
        <f>IFERROR(__xludf.DUMMYFUNCTION("GOOGLETRANSLATE(C1830, ""zh-CN"", ""en"")"),"Qiannan Buyi Miao Autonomous Prefecture")</f>
        <v>Qiannan Buyi Miao Autonomous Prefecture</v>
      </c>
      <c r="E1830" s="1" t="s">
        <v>1688</v>
      </c>
      <c r="F1830" s="1" t="str">
        <f>IFERROR(__xludf.DUMMYFUNCTION("GOOGLETRANSLATE(E1830, ""zh-CN"", ""en"")"),"Luodian County")</f>
        <v>Luodian County</v>
      </c>
      <c r="G1830" s="1">
        <v>5.22728E11</v>
      </c>
    </row>
    <row r="1831">
      <c r="A1831" s="1" t="s">
        <v>1596</v>
      </c>
      <c r="B1831" s="1" t="str">
        <f>IFERROR(__xludf.DUMMYFUNCTION("GOOGLETRANSLATE(A1757, ""zh-CN"", ""en"")"),"Guizhou Province")</f>
        <v>Guizhou Province</v>
      </c>
      <c r="C1831" s="1" t="s">
        <v>1605</v>
      </c>
      <c r="D1831" s="1" t="str">
        <f>IFERROR(__xludf.DUMMYFUNCTION("GOOGLETRANSLATE(C1831, ""zh-CN"", ""en"")"),"Qiannan Buyi Miao Autonomous Prefecture")</f>
        <v>Qiannan Buyi Miao Autonomous Prefecture</v>
      </c>
      <c r="E1831" s="1" t="s">
        <v>1689</v>
      </c>
      <c r="F1831" s="1" t="str">
        <f>IFERROR(__xludf.DUMMYFUNCTION("GOOGLETRANSLATE(E1831, ""zh-CN"", ""en"")"),"Changshun County")</f>
        <v>Changshun County</v>
      </c>
      <c r="G1831" s="1">
        <v>5.22729E11</v>
      </c>
    </row>
    <row r="1832">
      <c r="A1832" s="1" t="s">
        <v>1596</v>
      </c>
      <c r="B1832" s="1" t="str">
        <f>IFERROR(__xludf.DUMMYFUNCTION("GOOGLETRANSLATE(A1758, ""zh-CN"", ""en"")"),"Guizhou Province")</f>
        <v>Guizhou Province</v>
      </c>
      <c r="C1832" s="1" t="s">
        <v>1605</v>
      </c>
      <c r="D1832" s="1" t="str">
        <f>IFERROR(__xludf.DUMMYFUNCTION("GOOGLETRANSLATE(C1832, ""zh-CN"", ""en"")"),"Qiannan Buyi Miao Autonomous Prefecture")</f>
        <v>Qiannan Buyi Miao Autonomous Prefecture</v>
      </c>
      <c r="E1832" s="1" t="s">
        <v>1690</v>
      </c>
      <c r="F1832" s="1" t="str">
        <f>IFERROR(__xludf.DUMMYFUNCTION("GOOGLETRANSLATE(E1832, ""zh-CN"", ""en"")"),"Longli County")</f>
        <v>Longli County</v>
      </c>
      <c r="G1832" s="1">
        <v>5.2273E11</v>
      </c>
    </row>
    <row r="1833">
      <c r="A1833" s="1" t="s">
        <v>1596</v>
      </c>
      <c r="B1833" s="1" t="str">
        <f>IFERROR(__xludf.DUMMYFUNCTION("GOOGLETRANSLATE(A1759, ""zh-CN"", ""en"")"),"Guizhou Province")</f>
        <v>Guizhou Province</v>
      </c>
      <c r="C1833" s="1" t="s">
        <v>1605</v>
      </c>
      <c r="D1833" s="1" t="str">
        <f>IFERROR(__xludf.DUMMYFUNCTION("GOOGLETRANSLATE(C1833, ""zh-CN"", ""en"")"),"Qiannan Buyi Miao Autonomous Prefecture")</f>
        <v>Qiannan Buyi Miao Autonomous Prefecture</v>
      </c>
      <c r="E1833" s="1" t="s">
        <v>1691</v>
      </c>
      <c r="F1833" s="1" t="str">
        <f>IFERROR(__xludf.DUMMYFUNCTION("GOOGLETRANSLATE(E1833, ""zh-CN"", ""en"")"),"Huishui County")</f>
        <v>Huishui County</v>
      </c>
      <c r="G1833" s="1">
        <v>5.22731E11</v>
      </c>
    </row>
    <row r="1834">
      <c r="A1834" s="1" t="s">
        <v>1596</v>
      </c>
      <c r="B1834" s="1" t="str">
        <f>IFERROR(__xludf.DUMMYFUNCTION("GOOGLETRANSLATE(A1760, ""zh-CN"", ""en"")"),"Guizhou Province")</f>
        <v>Guizhou Province</v>
      </c>
      <c r="C1834" s="1" t="s">
        <v>1605</v>
      </c>
      <c r="D1834" s="1" t="str">
        <f>IFERROR(__xludf.DUMMYFUNCTION("GOOGLETRANSLATE(C1834, ""zh-CN"", ""en"")"),"Qiannan Buyi Miao Autonomous Prefecture")</f>
        <v>Qiannan Buyi Miao Autonomous Prefecture</v>
      </c>
      <c r="E1834" s="1" t="s">
        <v>1692</v>
      </c>
      <c r="F1834" s="1" t="str">
        <f>IFERROR(__xludf.DUMMYFUNCTION("GOOGLETRANSLATE(E1834, ""zh-CN"", ""en"")"),"Sandu aquarium autonomous county")</f>
        <v>Sandu aquarium autonomous county</v>
      </c>
      <c r="G1834" s="1">
        <v>5.22732E11</v>
      </c>
    </row>
    <row r="1835">
      <c r="A1835" s="1" t="s">
        <v>1693</v>
      </c>
      <c r="B1835" s="1" t="str">
        <f>IFERROR(__xludf.DUMMYFUNCTION("GOOGLETRANSLATE(A1761, ""zh-CN"", ""en"")"),"Guizhou Province")</f>
        <v>Guizhou Province</v>
      </c>
      <c r="C1835" s="1" t="s">
        <v>8</v>
      </c>
      <c r="D1835" s="1" t="str">
        <f>IFERROR(__xludf.DUMMYFUNCTION("GOOGLETRANSLATE(C1835, ""zh-CN"", ""en"")"),"Na")</f>
        <v>Na</v>
      </c>
      <c r="E1835" s="1" t="s">
        <v>8</v>
      </c>
      <c r="F1835" s="1" t="str">
        <f>IFERROR(__xludf.DUMMYFUNCTION("GOOGLETRANSLATE(E1835, ""zh-CN"", ""en"")"),"Na")</f>
        <v>Na</v>
      </c>
      <c r="G1835" s="1">
        <v>32.0</v>
      </c>
    </row>
    <row r="1836">
      <c r="A1836" s="1" t="s">
        <v>1693</v>
      </c>
      <c r="B1836" s="1" t="str">
        <f>IFERROR(__xludf.DUMMYFUNCTION("GOOGLETRANSLATE(A1762, ""zh-CN"", ""en"")"),"Guizhou Province")</f>
        <v>Guizhou Province</v>
      </c>
      <c r="C1836" s="1" t="s">
        <v>1694</v>
      </c>
      <c r="D1836" s="1" t="str">
        <f>IFERROR(__xludf.DUMMYFUNCTION("GOOGLETRANSLATE(C1836, ""zh-CN"", ""en"")"),"Nanjing")</f>
        <v>Nanjing</v>
      </c>
      <c r="E1836" s="1" t="s">
        <v>8</v>
      </c>
      <c r="F1836" s="1" t="str">
        <f>IFERROR(__xludf.DUMMYFUNCTION("GOOGLETRANSLATE(E1836, ""zh-CN"", ""en"")"),"Na")</f>
        <v>Na</v>
      </c>
      <c r="G1836" s="1">
        <v>3.201E11</v>
      </c>
    </row>
    <row r="1837">
      <c r="A1837" s="1" t="s">
        <v>1693</v>
      </c>
      <c r="B1837" s="1" t="str">
        <f>IFERROR(__xludf.DUMMYFUNCTION("GOOGLETRANSLATE(A1763, ""zh-CN"", ""en"")"),"Guizhou Province")</f>
        <v>Guizhou Province</v>
      </c>
      <c r="C1837" s="1" t="s">
        <v>1695</v>
      </c>
      <c r="D1837" s="1" t="str">
        <f>IFERROR(__xludf.DUMMYFUNCTION("GOOGLETRANSLATE(C1837, ""zh-CN"", ""en"")"),"Wuxi City")</f>
        <v>Wuxi City</v>
      </c>
      <c r="E1837" s="1" t="s">
        <v>8</v>
      </c>
      <c r="F1837" s="1" t="str">
        <f>IFERROR(__xludf.DUMMYFUNCTION("GOOGLETRANSLATE(E1837, ""zh-CN"", ""en"")"),"Na")</f>
        <v>Na</v>
      </c>
      <c r="G1837" s="1">
        <v>3.202E11</v>
      </c>
    </row>
    <row r="1838">
      <c r="A1838" s="1" t="s">
        <v>1693</v>
      </c>
      <c r="B1838" s="1" t="str">
        <f>IFERROR(__xludf.DUMMYFUNCTION("GOOGLETRANSLATE(A1764, ""zh-CN"", ""en"")"),"Guizhou Province")</f>
        <v>Guizhou Province</v>
      </c>
      <c r="C1838" s="1" t="s">
        <v>1696</v>
      </c>
      <c r="D1838" s="1" t="str">
        <f>IFERROR(__xludf.DUMMYFUNCTION("GOOGLETRANSLATE(C1838, ""zh-CN"", ""en"")"),"Xuzhou")</f>
        <v>Xuzhou</v>
      </c>
      <c r="E1838" s="1" t="s">
        <v>8</v>
      </c>
      <c r="F1838" s="1" t="str">
        <f>IFERROR(__xludf.DUMMYFUNCTION("GOOGLETRANSLATE(E1838, ""zh-CN"", ""en"")"),"Na")</f>
        <v>Na</v>
      </c>
      <c r="G1838" s="1">
        <v>3.203E11</v>
      </c>
    </row>
    <row r="1839">
      <c r="A1839" s="1" t="s">
        <v>1693</v>
      </c>
      <c r="B1839" s="1" t="str">
        <f>IFERROR(__xludf.DUMMYFUNCTION("GOOGLETRANSLATE(A1765, ""zh-CN"", ""en"")"),"Guizhou Province")</f>
        <v>Guizhou Province</v>
      </c>
      <c r="C1839" s="1" t="s">
        <v>1697</v>
      </c>
      <c r="D1839" s="1" t="str">
        <f>IFERROR(__xludf.DUMMYFUNCTION("GOOGLETRANSLATE(C1839, ""zh-CN"", ""en"")"),"Changzhou City")</f>
        <v>Changzhou City</v>
      </c>
      <c r="E1839" s="1" t="s">
        <v>8</v>
      </c>
      <c r="F1839" s="1" t="str">
        <f>IFERROR(__xludf.DUMMYFUNCTION("GOOGLETRANSLATE(E1839, ""zh-CN"", ""en"")"),"Na")</f>
        <v>Na</v>
      </c>
      <c r="G1839" s="1">
        <v>3.204E11</v>
      </c>
    </row>
    <row r="1840">
      <c r="A1840" s="1" t="s">
        <v>1693</v>
      </c>
      <c r="B1840" s="1" t="str">
        <f>IFERROR(__xludf.DUMMYFUNCTION("GOOGLETRANSLATE(A1766, ""zh-CN"", ""en"")"),"Guizhou Province")</f>
        <v>Guizhou Province</v>
      </c>
      <c r="C1840" s="1" t="s">
        <v>1698</v>
      </c>
      <c r="D1840" s="1" t="str">
        <f>IFERROR(__xludf.DUMMYFUNCTION("GOOGLETRANSLATE(C1840, ""zh-CN"", ""en"")"),"Suzhou City")</f>
        <v>Suzhou City</v>
      </c>
      <c r="E1840" s="1" t="s">
        <v>8</v>
      </c>
      <c r="F1840" s="1" t="str">
        <f>IFERROR(__xludf.DUMMYFUNCTION("GOOGLETRANSLATE(E1840, ""zh-CN"", ""en"")"),"Na")</f>
        <v>Na</v>
      </c>
      <c r="G1840" s="1">
        <v>3.205E11</v>
      </c>
    </row>
    <row r="1841">
      <c r="A1841" s="1" t="s">
        <v>1693</v>
      </c>
      <c r="B1841" s="1" t="str">
        <f>IFERROR(__xludf.DUMMYFUNCTION("GOOGLETRANSLATE(A1767, ""zh-CN"", ""en"")"),"Guizhou Province")</f>
        <v>Guizhou Province</v>
      </c>
      <c r="C1841" s="1" t="s">
        <v>1699</v>
      </c>
      <c r="D1841" s="1" t="str">
        <f>IFERROR(__xludf.DUMMYFUNCTION("GOOGLETRANSLATE(C1841, ""zh-CN"", ""en"")"),"Nantong city")</f>
        <v>Nantong city</v>
      </c>
      <c r="E1841" s="1" t="s">
        <v>8</v>
      </c>
      <c r="F1841" s="1" t="str">
        <f>IFERROR(__xludf.DUMMYFUNCTION("GOOGLETRANSLATE(E1841, ""zh-CN"", ""en"")"),"Na")</f>
        <v>Na</v>
      </c>
      <c r="G1841" s="1">
        <v>3.206E11</v>
      </c>
    </row>
    <row r="1842">
      <c r="A1842" s="1" t="s">
        <v>1693</v>
      </c>
      <c r="B1842" s="1" t="str">
        <f>IFERROR(__xludf.DUMMYFUNCTION("GOOGLETRANSLATE(A1768, ""zh-CN"", ""en"")"),"Guizhou Province")</f>
        <v>Guizhou Province</v>
      </c>
      <c r="C1842" s="1" t="s">
        <v>1700</v>
      </c>
      <c r="D1842" s="1" t="str">
        <f>IFERROR(__xludf.DUMMYFUNCTION("GOOGLETRANSLATE(C1842, ""zh-CN"", ""en"")"),"Lianyungang City")</f>
        <v>Lianyungang City</v>
      </c>
      <c r="E1842" s="1" t="s">
        <v>8</v>
      </c>
      <c r="F1842" s="1" t="str">
        <f>IFERROR(__xludf.DUMMYFUNCTION("GOOGLETRANSLATE(E1842, ""zh-CN"", ""en"")"),"Na")</f>
        <v>Na</v>
      </c>
      <c r="G1842" s="1">
        <v>3.207E11</v>
      </c>
    </row>
    <row r="1843">
      <c r="A1843" s="1" t="s">
        <v>1693</v>
      </c>
      <c r="B1843" s="1" t="str">
        <f>IFERROR(__xludf.DUMMYFUNCTION("GOOGLETRANSLATE(A1769, ""zh-CN"", ""en"")"),"Guizhou Province")</f>
        <v>Guizhou Province</v>
      </c>
      <c r="C1843" s="1" t="s">
        <v>1701</v>
      </c>
      <c r="D1843" s="1" t="str">
        <f>IFERROR(__xludf.DUMMYFUNCTION("GOOGLETRANSLATE(C1843, ""zh-CN"", ""en"")"),"Huaian city")</f>
        <v>Huaian city</v>
      </c>
      <c r="E1843" s="1" t="s">
        <v>8</v>
      </c>
      <c r="F1843" s="1" t="str">
        <f>IFERROR(__xludf.DUMMYFUNCTION("GOOGLETRANSLATE(E1843, ""zh-CN"", ""en"")"),"Na")</f>
        <v>Na</v>
      </c>
      <c r="G1843" s="1">
        <v>3.208E11</v>
      </c>
    </row>
    <row r="1844">
      <c r="A1844" s="1" t="s">
        <v>1693</v>
      </c>
      <c r="B1844" s="1" t="str">
        <f>IFERROR(__xludf.DUMMYFUNCTION("GOOGLETRANSLATE(A1770, ""zh-CN"", ""en"")"),"Guizhou Province")</f>
        <v>Guizhou Province</v>
      </c>
      <c r="C1844" s="1" t="s">
        <v>1702</v>
      </c>
      <c r="D1844" s="1" t="str">
        <f>IFERROR(__xludf.DUMMYFUNCTION("GOOGLETRANSLATE(C1844, ""zh-CN"", ""en"")"),"Salt city")</f>
        <v>Salt city</v>
      </c>
      <c r="E1844" s="1" t="s">
        <v>8</v>
      </c>
      <c r="F1844" s="1" t="str">
        <f>IFERROR(__xludf.DUMMYFUNCTION("GOOGLETRANSLATE(E1844, ""zh-CN"", ""en"")"),"Na")</f>
        <v>Na</v>
      </c>
      <c r="G1844" s="1">
        <v>3.209E11</v>
      </c>
    </row>
    <row r="1845">
      <c r="A1845" s="1" t="s">
        <v>1693</v>
      </c>
      <c r="B1845" s="1" t="str">
        <f>IFERROR(__xludf.DUMMYFUNCTION("GOOGLETRANSLATE(A1771, ""zh-CN"", ""en"")"),"Guizhou Province")</f>
        <v>Guizhou Province</v>
      </c>
      <c r="C1845" s="1" t="s">
        <v>1703</v>
      </c>
      <c r="D1845" s="1" t="str">
        <f>IFERROR(__xludf.DUMMYFUNCTION("GOOGLETRANSLATE(C1845, ""zh-CN"", ""en"")"),"Yangzhou")</f>
        <v>Yangzhou</v>
      </c>
      <c r="E1845" s="1" t="s">
        <v>8</v>
      </c>
      <c r="F1845" s="1" t="str">
        <f>IFERROR(__xludf.DUMMYFUNCTION("GOOGLETRANSLATE(E1845, ""zh-CN"", ""en"")"),"Na")</f>
        <v>Na</v>
      </c>
      <c r="G1845" s="1">
        <v>3.21E11</v>
      </c>
    </row>
    <row r="1846">
      <c r="A1846" s="1" t="s">
        <v>1693</v>
      </c>
      <c r="B1846" s="1" t="str">
        <f>IFERROR(__xludf.DUMMYFUNCTION("GOOGLETRANSLATE(A1772, ""zh-CN"", ""en"")"),"Guizhou Province")</f>
        <v>Guizhou Province</v>
      </c>
      <c r="C1846" s="1" t="s">
        <v>1704</v>
      </c>
      <c r="D1846" s="1" t="str">
        <f>IFERROR(__xludf.DUMMYFUNCTION("GOOGLETRANSLATE(C1846, ""zh-CN"", ""en"")"),"Zhenjiang")</f>
        <v>Zhenjiang</v>
      </c>
      <c r="E1846" s="1" t="s">
        <v>8</v>
      </c>
      <c r="F1846" s="1" t="str">
        <f>IFERROR(__xludf.DUMMYFUNCTION("GOOGLETRANSLATE(E1846, ""zh-CN"", ""en"")"),"Na")</f>
        <v>Na</v>
      </c>
      <c r="G1846" s="1">
        <v>3.211E11</v>
      </c>
    </row>
    <row r="1847">
      <c r="A1847" s="1" t="s">
        <v>1693</v>
      </c>
      <c r="B1847" s="1" t="str">
        <f>IFERROR(__xludf.DUMMYFUNCTION("GOOGLETRANSLATE(A1773, ""zh-CN"", ""en"")"),"Guizhou Province")</f>
        <v>Guizhou Province</v>
      </c>
      <c r="C1847" s="1" t="s">
        <v>1705</v>
      </c>
      <c r="D1847" s="1" t="str">
        <f>IFERROR(__xludf.DUMMYFUNCTION("GOOGLETRANSLATE(C1847, ""zh-CN"", ""en"")"),"Taizhou")</f>
        <v>Taizhou</v>
      </c>
      <c r="E1847" s="1" t="s">
        <v>8</v>
      </c>
      <c r="F1847" s="1" t="str">
        <f>IFERROR(__xludf.DUMMYFUNCTION("GOOGLETRANSLATE(E1847, ""zh-CN"", ""en"")"),"Na")</f>
        <v>Na</v>
      </c>
      <c r="G1847" s="1">
        <v>3.212E11</v>
      </c>
    </row>
    <row r="1848">
      <c r="A1848" s="1" t="s">
        <v>1693</v>
      </c>
      <c r="B1848" s="1" t="str">
        <f>IFERROR(__xludf.DUMMYFUNCTION("GOOGLETRANSLATE(A1774, ""zh-CN"", ""en"")"),"Guizhou Province")</f>
        <v>Guizhou Province</v>
      </c>
      <c r="C1848" s="1" t="s">
        <v>1706</v>
      </c>
      <c r="D1848" s="1" t="str">
        <f>IFERROR(__xludf.DUMMYFUNCTION("GOOGLETRANSLATE(C1848, ""zh-CN"", ""en"")"),"Suqian City")</f>
        <v>Suqian City</v>
      </c>
      <c r="E1848" s="1" t="s">
        <v>8</v>
      </c>
      <c r="F1848" s="1" t="str">
        <f>IFERROR(__xludf.DUMMYFUNCTION("GOOGLETRANSLATE(E1848, ""zh-CN"", ""en"")"),"Na")</f>
        <v>Na</v>
      </c>
      <c r="G1848" s="1">
        <v>3.213E11</v>
      </c>
    </row>
    <row r="1849">
      <c r="A1849" s="1" t="s">
        <v>1693</v>
      </c>
      <c r="B1849" s="1" t="str">
        <f>IFERROR(__xludf.DUMMYFUNCTION("GOOGLETRANSLATE(A1775, ""zh-CN"", ""en"")"),"Guizhou Province")</f>
        <v>Guizhou Province</v>
      </c>
      <c r="C1849" s="1" t="s">
        <v>1694</v>
      </c>
      <c r="D1849" s="1" t="str">
        <f>IFERROR(__xludf.DUMMYFUNCTION("GOOGLETRANSLATE(C1849, ""zh-CN"", ""en"")"),"Nanjing")</f>
        <v>Nanjing</v>
      </c>
      <c r="E1849" s="1" t="s">
        <v>24</v>
      </c>
      <c r="F1849" s="1" t="str">
        <f>IFERROR(__xludf.DUMMYFUNCTION("GOOGLETRANSLATE(E1849, ""zh-CN"", ""en"")"),"City area")</f>
        <v>City area</v>
      </c>
      <c r="G1849" s="1">
        <v>3.20101E11</v>
      </c>
    </row>
    <row r="1850">
      <c r="A1850" s="1" t="s">
        <v>1693</v>
      </c>
      <c r="B1850" s="1" t="str">
        <f>IFERROR(__xludf.DUMMYFUNCTION("GOOGLETRANSLATE(A1776, ""zh-CN"", ""en"")"),"Guizhou Province")</f>
        <v>Guizhou Province</v>
      </c>
      <c r="C1850" s="1" t="s">
        <v>1694</v>
      </c>
      <c r="D1850" s="1" t="str">
        <f>IFERROR(__xludf.DUMMYFUNCTION("GOOGLETRANSLATE(C1850, ""zh-CN"", ""en"")"),"Nanjing")</f>
        <v>Nanjing</v>
      </c>
      <c r="E1850" s="1" t="s">
        <v>1707</v>
      </c>
      <c r="F1850" s="1" t="str">
        <f>IFERROR(__xludf.DUMMYFUNCTION("GOOGLETRANSLATE(E1850, ""zh-CN"", ""en"")"),"Xuanwu District")</f>
        <v>Xuanwu District</v>
      </c>
      <c r="G1850" s="1">
        <v>3.20102E11</v>
      </c>
    </row>
    <row r="1851">
      <c r="A1851" s="1" t="s">
        <v>1693</v>
      </c>
      <c r="B1851" s="1" t="str">
        <f>IFERROR(__xludf.DUMMYFUNCTION("GOOGLETRANSLATE(A1777, ""zh-CN"", ""en"")"),"Guizhou Province")</f>
        <v>Guizhou Province</v>
      </c>
      <c r="C1851" s="1" t="s">
        <v>1694</v>
      </c>
      <c r="D1851" s="1" t="str">
        <f>IFERROR(__xludf.DUMMYFUNCTION("GOOGLETRANSLATE(C1851, ""zh-CN"", ""en"")"),"Nanjing")</f>
        <v>Nanjing</v>
      </c>
      <c r="E1851" s="1" t="s">
        <v>1708</v>
      </c>
      <c r="F1851" s="1" t="str">
        <f>IFERROR(__xludf.DUMMYFUNCTION("GOOGLETRANSLATE(E1851, ""zh-CN"", ""en"")"),"Qinhuai District")</f>
        <v>Qinhuai District</v>
      </c>
      <c r="G1851" s="1">
        <v>3.20104E11</v>
      </c>
    </row>
    <row r="1852">
      <c r="A1852" s="1" t="s">
        <v>1693</v>
      </c>
      <c r="B1852" s="1" t="str">
        <f>IFERROR(__xludf.DUMMYFUNCTION("GOOGLETRANSLATE(A1778, ""zh-CN"", ""en"")"),"Guizhou Province")</f>
        <v>Guizhou Province</v>
      </c>
      <c r="C1852" s="1" t="s">
        <v>1694</v>
      </c>
      <c r="D1852" s="1" t="str">
        <f>IFERROR(__xludf.DUMMYFUNCTION("GOOGLETRANSLATE(C1852, ""zh-CN"", ""en"")"),"Nanjing")</f>
        <v>Nanjing</v>
      </c>
      <c r="E1852" s="1" t="s">
        <v>1709</v>
      </c>
      <c r="F1852" s="1" t="str">
        <f>IFERROR(__xludf.DUMMYFUNCTION("GOOGLETRANSLATE(E1852, ""zh-CN"", ""en"")"),"Jianye District")</f>
        <v>Jianye District</v>
      </c>
      <c r="G1852" s="1">
        <v>3.20105E11</v>
      </c>
    </row>
    <row r="1853">
      <c r="A1853" s="1" t="s">
        <v>1693</v>
      </c>
      <c r="B1853" s="1" t="str">
        <f>IFERROR(__xludf.DUMMYFUNCTION("GOOGLETRANSLATE(A1779, ""zh-CN"", ""en"")"),"Guizhou Province")</f>
        <v>Guizhou Province</v>
      </c>
      <c r="C1853" s="1" t="s">
        <v>1694</v>
      </c>
      <c r="D1853" s="1" t="str">
        <f>IFERROR(__xludf.DUMMYFUNCTION("GOOGLETRANSLATE(C1853, ""zh-CN"", ""en"")"),"Nanjing")</f>
        <v>Nanjing</v>
      </c>
      <c r="E1853" s="1" t="s">
        <v>1710</v>
      </c>
      <c r="F1853" s="1" t="str">
        <f>IFERROR(__xludf.DUMMYFUNCTION("GOOGLETRANSLATE(E1853, ""zh-CN"", ""en"")"),"Gulou District")</f>
        <v>Gulou District</v>
      </c>
      <c r="G1853" s="1">
        <v>3.20106E11</v>
      </c>
    </row>
    <row r="1854">
      <c r="A1854" s="1" t="s">
        <v>1693</v>
      </c>
      <c r="B1854" s="1" t="str">
        <f>IFERROR(__xludf.DUMMYFUNCTION("GOOGLETRANSLATE(A1780, ""zh-CN"", ""en"")"),"Guizhou Province")</f>
        <v>Guizhou Province</v>
      </c>
      <c r="C1854" s="1" t="s">
        <v>1694</v>
      </c>
      <c r="D1854" s="1" t="str">
        <f>IFERROR(__xludf.DUMMYFUNCTION("GOOGLETRANSLATE(C1854, ""zh-CN"", ""en"")"),"Nanjing")</f>
        <v>Nanjing</v>
      </c>
      <c r="E1854" s="1" t="s">
        <v>1711</v>
      </c>
      <c r="F1854" s="1" t="str">
        <f>IFERROR(__xludf.DUMMYFUNCTION("GOOGLETRANSLATE(E1854, ""zh-CN"", ""en"")"),"Pukou District")</f>
        <v>Pukou District</v>
      </c>
      <c r="G1854" s="1">
        <v>3.20111E11</v>
      </c>
    </row>
    <row r="1855">
      <c r="A1855" s="1" t="s">
        <v>1693</v>
      </c>
      <c r="B1855" s="1" t="str">
        <f>IFERROR(__xludf.DUMMYFUNCTION("GOOGLETRANSLATE(A1781, ""zh-CN"", ""en"")"),"Guizhou Province")</f>
        <v>Guizhou Province</v>
      </c>
      <c r="C1855" s="1" t="s">
        <v>1694</v>
      </c>
      <c r="D1855" s="1" t="str">
        <f>IFERROR(__xludf.DUMMYFUNCTION("GOOGLETRANSLATE(C1855, ""zh-CN"", ""en"")"),"Nanjing")</f>
        <v>Nanjing</v>
      </c>
      <c r="E1855" s="1" t="s">
        <v>1712</v>
      </c>
      <c r="F1855" s="1" t="str">
        <f>IFERROR(__xludf.DUMMYFUNCTION("GOOGLETRANSLATE(E1855, ""zh-CN"", ""en"")"),"Qixia District")</f>
        <v>Qixia District</v>
      </c>
      <c r="G1855" s="1">
        <v>3.20113E11</v>
      </c>
    </row>
    <row r="1856">
      <c r="A1856" s="1" t="s">
        <v>1693</v>
      </c>
      <c r="B1856" s="1" t="str">
        <f>IFERROR(__xludf.DUMMYFUNCTION("GOOGLETRANSLATE(A1782, ""zh-CN"", ""en"")"),"Guizhou Province")</f>
        <v>Guizhou Province</v>
      </c>
      <c r="C1856" s="1" t="s">
        <v>1694</v>
      </c>
      <c r="D1856" s="1" t="str">
        <f>IFERROR(__xludf.DUMMYFUNCTION("GOOGLETRANSLATE(C1856, ""zh-CN"", ""en"")"),"Nanjing")</f>
        <v>Nanjing</v>
      </c>
      <c r="E1856" s="1" t="s">
        <v>1713</v>
      </c>
      <c r="F1856" s="1" t="str">
        <f>IFERROR(__xludf.DUMMYFUNCTION("GOOGLETRANSLATE(E1856, ""zh-CN"", ""en"")"),"Yuhuatai District")</f>
        <v>Yuhuatai District</v>
      </c>
      <c r="G1856" s="1">
        <v>3.20114E11</v>
      </c>
    </row>
    <row r="1857">
      <c r="A1857" s="1" t="s">
        <v>1693</v>
      </c>
      <c r="B1857" s="1" t="str">
        <f>IFERROR(__xludf.DUMMYFUNCTION("GOOGLETRANSLATE(A1783, ""zh-CN"", ""en"")"),"Guizhou Province")</f>
        <v>Guizhou Province</v>
      </c>
      <c r="C1857" s="1" t="s">
        <v>1694</v>
      </c>
      <c r="D1857" s="1" t="str">
        <f>IFERROR(__xludf.DUMMYFUNCTION("GOOGLETRANSLATE(C1857, ""zh-CN"", ""en"")"),"Nanjing")</f>
        <v>Nanjing</v>
      </c>
      <c r="E1857" s="1" t="s">
        <v>1714</v>
      </c>
      <c r="F1857" s="1" t="str">
        <f>IFERROR(__xludf.DUMMYFUNCTION("GOOGLETRANSLATE(E1857, ""zh-CN"", ""en"")"),"Jiangning District")</f>
        <v>Jiangning District</v>
      </c>
      <c r="G1857" s="1">
        <v>3.20115E11</v>
      </c>
    </row>
    <row r="1858">
      <c r="A1858" s="1" t="s">
        <v>1693</v>
      </c>
      <c r="B1858" s="1" t="str">
        <f>IFERROR(__xludf.DUMMYFUNCTION("GOOGLETRANSLATE(A1784, ""zh-CN"", ""en"")"),"Guizhou Province")</f>
        <v>Guizhou Province</v>
      </c>
      <c r="C1858" s="1" t="s">
        <v>1694</v>
      </c>
      <c r="D1858" s="1" t="str">
        <f>IFERROR(__xludf.DUMMYFUNCTION("GOOGLETRANSLATE(C1858, ""zh-CN"", ""en"")"),"Nanjing")</f>
        <v>Nanjing</v>
      </c>
      <c r="E1858" s="1" t="s">
        <v>1715</v>
      </c>
      <c r="F1858" s="1" t="str">
        <f>IFERROR(__xludf.DUMMYFUNCTION("GOOGLETRANSLATE(E1858, ""zh-CN"", ""en"")"),"Liuhe District")</f>
        <v>Liuhe District</v>
      </c>
      <c r="G1858" s="1">
        <v>3.20116E11</v>
      </c>
    </row>
    <row r="1859">
      <c r="A1859" s="1" t="s">
        <v>1693</v>
      </c>
      <c r="B1859" s="1" t="str">
        <f>IFERROR(__xludf.DUMMYFUNCTION("GOOGLETRANSLATE(A1785, ""zh-CN"", ""en"")"),"Guizhou Province")</f>
        <v>Guizhou Province</v>
      </c>
      <c r="C1859" s="1" t="s">
        <v>1694</v>
      </c>
      <c r="D1859" s="1" t="str">
        <f>IFERROR(__xludf.DUMMYFUNCTION("GOOGLETRANSLATE(C1859, ""zh-CN"", ""en"")"),"Nanjing")</f>
        <v>Nanjing</v>
      </c>
      <c r="E1859" s="1" t="s">
        <v>1716</v>
      </c>
      <c r="F1859" s="1" t="str">
        <f>IFERROR(__xludf.DUMMYFUNCTION("GOOGLETRANSLATE(E1859, ""zh-CN"", ""en"")"),"Lishui District")</f>
        <v>Lishui District</v>
      </c>
      <c r="G1859" s="1">
        <v>3.20117E11</v>
      </c>
    </row>
    <row r="1860">
      <c r="A1860" s="1" t="s">
        <v>1693</v>
      </c>
      <c r="B1860" s="1" t="str">
        <f>IFERROR(__xludf.DUMMYFUNCTION("GOOGLETRANSLATE(A1786, ""zh-CN"", ""en"")"),"Guizhou Province")</f>
        <v>Guizhou Province</v>
      </c>
      <c r="C1860" s="1" t="s">
        <v>1694</v>
      </c>
      <c r="D1860" s="1" t="str">
        <f>IFERROR(__xludf.DUMMYFUNCTION("GOOGLETRANSLATE(C1860, ""zh-CN"", ""en"")"),"Nanjing")</f>
        <v>Nanjing</v>
      </c>
      <c r="E1860" s="1" t="s">
        <v>1717</v>
      </c>
      <c r="F1860" s="1" t="str">
        <f>IFERROR(__xludf.DUMMYFUNCTION("GOOGLETRANSLATE(E1860, ""zh-CN"", ""en"")"),"Gaochun District")</f>
        <v>Gaochun District</v>
      </c>
      <c r="G1860" s="1">
        <v>3.20118E11</v>
      </c>
    </row>
    <row r="1861">
      <c r="A1861" s="1" t="s">
        <v>1693</v>
      </c>
      <c r="B1861" s="1" t="str">
        <f>IFERROR(__xludf.DUMMYFUNCTION("GOOGLETRANSLATE(A1787, ""zh-CN"", ""en"")"),"Guizhou Province")</f>
        <v>Guizhou Province</v>
      </c>
      <c r="C1861" s="1" t="s">
        <v>1695</v>
      </c>
      <c r="D1861" s="1" t="str">
        <f>IFERROR(__xludf.DUMMYFUNCTION("GOOGLETRANSLATE(C1861, ""zh-CN"", ""en"")"),"Wuxi City")</f>
        <v>Wuxi City</v>
      </c>
      <c r="E1861" s="1" t="s">
        <v>24</v>
      </c>
      <c r="F1861" s="1" t="str">
        <f>IFERROR(__xludf.DUMMYFUNCTION("GOOGLETRANSLATE(E1861, ""zh-CN"", ""en"")"),"City area")</f>
        <v>City area</v>
      </c>
      <c r="G1861" s="1">
        <v>3.20201E11</v>
      </c>
    </row>
    <row r="1862">
      <c r="A1862" s="1" t="s">
        <v>1693</v>
      </c>
      <c r="B1862" s="1" t="str">
        <f>IFERROR(__xludf.DUMMYFUNCTION("GOOGLETRANSLATE(A1788, ""zh-CN"", ""en"")"),"Guizhou Province")</f>
        <v>Guizhou Province</v>
      </c>
      <c r="C1862" s="1" t="s">
        <v>1695</v>
      </c>
      <c r="D1862" s="1" t="str">
        <f>IFERROR(__xludf.DUMMYFUNCTION("GOOGLETRANSLATE(C1862, ""zh-CN"", ""en"")"),"Wuxi City")</f>
        <v>Wuxi City</v>
      </c>
      <c r="E1862" s="1" t="s">
        <v>1718</v>
      </c>
      <c r="F1862" s="1" t="str">
        <f>IFERROR(__xludf.DUMMYFUNCTION("GOOGLETRANSLATE(E1862, ""zh-CN"", ""en"")"),"Xishan District")</f>
        <v>Xishan District</v>
      </c>
      <c r="G1862" s="1">
        <v>3.20205E11</v>
      </c>
    </row>
    <row r="1863">
      <c r="A1863" s="1" t="s">
        <v>1693</v>
      </c>
      <c r="B1863" s="1" t="str">
        <f>IFERROR(__xludf.DUMMYFUNCTION("GOOGLETRANSLATE(A1789, ""zh-CN"", ""en"")"),"Guizhou Province")</f>
        <v>Guizhou Province</v>
      </c>
      <c r="C1863" s="1" t="s">
        <v>1695</v>
      </c>
      <c r="D1863" s="1" t="str">
        <f>IFERROR(__xludf.DUMMYFUNCTION("GOOGLETRANSLATE(C1863, ""zh-CN"", ""en"")"),"Wuxi City")</f>
        <v>Wuxi City</v>
      </c>
      <c r="E1863" s="1" t="s">
        <v>1719</v>
      </c>
      <c r="F1863" s="1" t="str">
        <f>IFERROR(__xludf.DUMMYFUNCTION("GOOGLETRANSLATE(E1863, ""zh-CN"", ""en"")"),"Huishan District")</f>
        <v>Huishan District</v>
      </c>
      <c r="G1863" s="1">
        <v>3.20206E11</v>
      </c>
    </row>
    <row r="1864">
      <c r="A1864" s="1" t="s">
        <v>1693</v>
      </c>
      <c r="B1864" s="1" t="str">
        <f>IFERROR(__xludf.DUMMYFUNCTION("GOOGLETRANSLATE(A1790, ""zh-CN"", ""en"")"),"Guizhou Province")</f>
        <v>Guizhou Province</v>
      </c>
      <c r="C1864" s="1" t="s">
        <v>1695</v>
      </c>
      <c r="D1864" s="1" t="str">
        <f>IFERROR(__xludf.DUMMYFUNCTION("GOOGLETRANSLATE(C1864, ""zh-CN"", ""en"")"),"Wuxi City")</f>
        <v>Wuxi City</v>
      </c>
      <c r="E1864" s="1" t="s">
        <v>1720</v>
      </c>
      <c r="F1864" s="1" t="str">
        <f>IFERROR(__xludf.DUMMYFUNCTION("GOOGLETRANSLATE(E1864, ""zh-CN"", ""en"")"),"Lake District")</f>
        <v>Lake District</v>
      </c>
      <c r="G1864" s="1">
        <v>3.20211E11</v>
      </c>
    </row>
    <row r="1865">
      <c r="A1865" s="1" t="s">
        <v>1693</v>
      </c>
      <c r="B1865" s="1" t="str">
        <f>IFERROR(__xludf.DUMMYFUNCTION("GOOGLETRANSLATE(A1791, ""zh-CN"", ""en"")"),"Guizhou Province")</f>
        <v>Guizhou Province</v>
      </c>
      <c r="C1865" s="1" t="s">
        <v>1695</v>
      </c>
      <c r="D1865" s="1" t="str">
        <f>IFERROR(__xludf.DUMMYFUNCTION("GOOGLETRANSLATE(C1865, ""zh-CN"", ""en"")"),"Wuxi City")</f>
        <v>Wuxi City</v>
      </c>
      <c r="E1865" s="1" t="s">
        <v>1721</v>
      </c>
      <c r="F1865" s="1" t="str">
        <f>IFERROR(__xludf.DUMMYFUNCTION("GOOGLETRANSLATE(E1865, ""zh-CN"", ""en"")"),"Liangxi District")</f>
        <v>Liangxi District</v>
      </c>
      <c r="G1865" s="1">
        <v>3.20213E11</v>
      </c>
    </row>
    <row r="1866">
      <c r="A1866" s="1" t="s">
        <v>1693</v>
      </c>
      <c r="B1866" s="1" t="str">
        <f>IFERROR(__xludf.DUMMYFUNCTION("GOOGLETRANSLATE(A1792, ""zh-CN"", ""en"")"),"Guizhou Province")</f>
        <v>Guizhou Province</v>
      </c>
      <c r="C1866" s="1" t="s">
        <v>1695</v>
      </c>
      <c r="D1866" s="1" t="str">
        <f>IFERROR(__xludf.DUMMYFUNCTION("GOOGLETRANSLATE(C1866, ""zh-CN"", ""en"")"),"Wuxi City")</f>
        <v>Wuxi City</v>
      </c>
      <c r="E1866" s="1" t="s">
        <v>1722</v>
      </c>
      <c r="F1866" s="1" t="str">
        <f>IFERROR(__xludf.DUMMYFUNCTION("GOOGLETRANSLATE(E1866, ""zh-CN"", ""en"")"),"Xinwu District")</f>
        <v>Xinwu District</v>
      </c>
      <c r="G1866" s="1">
        <v>3.20214E11</v>
      </c>
    </row>
    <row r="1867">
      <c r="A1867" s="1" t="s">
        <v>1693</v>
      </c>
      <c r="B1867" s="1" t="str">
        <f>IFERROR(__xludf.DUMMYFUNCTION("GOOGLETRANSLATE(A1793, ""zh-CN"", ""en"")"),"Guizhou Province")</f>
        <v>Guizhou Province</v>
      </c>
      <c r="C1867" s="1" t="s">
        <v>1695</v>
      </c>
      <c r="D1867" s="1" t="str">
        <f>IFERROR(__xludf.DUMMYFUNCTION("GOOGLETRANSLATE(C1867, ""zh-CN"", ""en"")"),"Wuxi City")</f>
        <v>Wuxi City</v>
      </c>
      <c r="E1867" s="1" t="s">
        <v>1723</v>
      </c>
      <c r="F1867" s="1" t="str">
        <f>IFERROR(__xludf.DUMMYFUNCTION("GOOGLETRANSLATE(E1867, ""zh-CN"", ""en"")"),"Jiangyin City")</f>
        <v>Jiangyin City</v>
      </c>
      <c r="G1867" s="1">
        <v>3.20281E11</v>
      </c>
    </row>
    <row r="1868">
      <c r="A1868" s="1" t="s">
        <v>1693</v>
      </c>
      <c r="B1868" s="1" t="str">
        <f>IFERROR(__xludf.DUMMYFUNCTION("GOOGLETRANSLATE(A1794, ""zh-CN"", ""en"")"),"Guizhou Province")</f>
        <v>Guizhou Province</v>
      </c>
      <c r="C1868" s="1" t="s">
        <v>1695</v>
      </c>
      <c r="D1868" s="1" t="str">
        <f>IFERROR(__xludf.DUMMYFUNCTION("GOOGLETRANSLATE(C1868, ""zh-CN"", ""en"")"),"Wuxi City")</f>
        <v>Wuxi City</v>
      </c>
      <c r="E1868" s="1" t="s">
        <v>1724</v>
      </c>
      <c r="F1868" s="1" t="str">
        <f>IFERROR(__xludf.DUMMYFUNCTION("GOOGLETRANSLATE(E1868, ""zh-CN"", ""en"")"),"Yixing City")</f>
        <v>Yixing City</v>
      </c>
      <c r="G1868" s="1">
        <v>3.20282E11</v>
      </c>
    </row>
    <row r="1869">
      <c r="A1869" s="1" t="s">
        <v>1693</v>
      </c>
      <c r="B1869" s="1" t="str">
        <f>IFERROR(__xludf.DUMMYFUNCTION("GOOGLETRANSLATE(A1795, ""zh-CN"", ""en"")"),"Guizhou Province")</f>
        <v>Guizhou Province</v>
      </c>
      <c r="C1869" s="1" t="s">
        <v>1696</v>
      </c>
      <c r="D1869" s="1" t="str">
        <f>IFERROR(__xludf.DUMMYFUNCTION("GOOGLETRANSLATE(C1869, ""zh-CN"", ""en"")"),"Xuzhou")</f>
        <v>Xuzhou</v>
      </c>
      <c r="E1869" s="1" t="s">
        <v>24</v>
      </c>
      <c r="F1869" s="1" t="str">
        <f>IFERROR(__xludf.DUMMYFUNCTION("GOOGLETRANSLATE(E1869, ""zh-CN"", ""en"")"),"City area")</f>
        <v>City area</v>
      </c>
      <c r="G1869" s="1">
        <v>3.20301E11</v>
      </c>
    </row>
    <row r="1870">
      <c r="A1870" s="1" t="s">
        <v>1693</v>
      </c>
      <c r="B1870" s="1" t="str">
        <f>IFERROR(__xludf.DUMMYFUNCTION("GOOGLETRANSLATE(A1796, ""zh-CN"", ""en"")"),"Guizhou Province")</f>
        <v>Guizhou Province</v>
      </c>
      <c r="C1870" s="1" t="s">
        <v>1696</v>
      </c>
      <c r="D1870" s="1" t="str">
        <f>IFERROR(__xludf.DUMMYFUNCTION("GOOGLETRANSLATE(C1870, ""zh-CN"", ""en"")"),"Xuzhou")</f>
        <v>Xuzhou</v>
      </c>
      <c r="E1870" s="1" t="s">
        <v>1710</v>
      </c>
      <c r="F1870" s="1" t="str">
        <f>IFERROR(__xludf.DUMMYFUNCTION("GOOGLETRANSLATE(E1870, ""zh-CN"", ""en"")"),"Gulou District")</f>
        <v>Gulou District</v>
      </c>
      <c r="G1870" s="1">
        <v>3.20302E11</v>
      </c>
    </row>
    <row r="1871">
      <c r="A1871" s="1" t="s">
        <v>1693</v>
      </c>
      <c r="B1871" s="1" t="str">
        <f>IFERROR(__xludf.DUMMYFUNCTION("GOOGLETRANSLATE(A1797, ""zh-CN"", ""en"")"),"Guizhou Province")</f>
        <v>Guizhou Province</v>
      </c>
      <c r="C1871" s="1" t="s">
        <v>1696</v>
      </c>
      <c r="D1871" s="1" t="str">
        <f>IFERROR(__xludf.DUMMYFUNCTION("GOOGLETRANSLATE(C1871, ""zh-CN"", ""en"")"),"Xuzhou")</f>
        <v>Xuzhou</v>
      </c>
      <c r="E1871" s="1" t="s">
        <v>1725</v>
      </c>
      <c r="F1871" s="1" t="str">
        <f>IFERROR(__xludf.DUMMYFUNCTION("GOOGLETRANSLATE(E1871, ""zh-CN"", ""en"")"),"Yunlong District")</f>
        <v>Yunlong District</v>
      </c>
      <c r="G1871" s="1">
        <v>3.20303E11</v>
      </c>
    </row>
    <row r="1872">
      <c r="A1872" s="1" t="s">
        <v>1693</v>
      </c>
      <c r="B1872" s="1" t="str">
        <f>IFERROR(__xludf.DUMMYFUNCTION("GOOGLETRANSLATE(A1798, ""zh-CN"", ""en"")"),"Guizhou Province")</f>
        <v>Guizhou Province</v>
      </c>
      <c r="C1872" s="1" t="s">
        <v>1696</v>
      </c>
      <c r="D1872" s="1" t="str">
        <f>IFERROR(__xludf.DUMMYFUNCTION("GOOGLETRANSLATE(C1872, ""zh-CN"", ""en"")"),"Xuzhou")</f>
        <v>Xuzhou</v>
      </c>
      <c r="E1872" s="1" t="s">
        <v>1726</v>
      </c>
      <c r="F1872" s="1" t="str">
        <f>IFERROR(__xludf.DUMMYFUNCTION("GOOGLETRANSLATE(E1872, ""zh-CN"", ""en"")"),"Jiawang District")</f>
        <v>Jiawang District</v>
      </c>
      <c r="G1872" s="1">
        <v>3.20305E11</v>
      </c>
    </row>
    <row r="1873">
      <c r="A1873" s="1" t="s">
        <v>1693</v>
      </c>
      <c r="B1873" s="1" t="str">
        <f>IFERROR(__xludf.DUMMYFUNCTION("GOOGLETRANSLATE(A1799, ""zh-CN"", ""en"")"),"Guizhou Province")</f>
        <v>Guizhou Province</v>
      </c>
      <c r="C1873" s="1" t="s">
        <v>1696</v>
      </c>
      <c r="D1873" s="1" t="str">
        <f>IFERROR(__xludf.DUMMYFUNCTION("GOOGLETRANSLATE(C1873, ""zh-CN"", ""en"")"),"Xuzhou")</f>
        <v>Xuzhou</v>
      </c>
      <c r="E1873" s="1" t="s">
        <v>1727</v>
      </c>
      <c r="F1873" s="1" t="str">
        <f>IFERROR(__xludf.DUMMYFUNCTION("GOOGLETRANSLATE(E1873, ""zh-CN"", ""en"")"),"Quanshan District")</f>
        <v>Quanshan District</v>
      </c>
      <c r="G1873" s="1">
        <v>3.20311E11</v>
      </c>
    </row>
    <row r="1874">
      <c r="A1874" s="1" t="s">
        <v>1693</v>
      </c>
      <c r="B1874" s="1" t="str">
        <f>IFERROR(__xludf.DUMMYFUNCTION("GOOGLETRANSLATE(A1800, ""zh-CN"", ""en"")"),"Guizhou Province")</f>
        <v>Guizhou Province</v>
      </c>
      <c r="C1874" s="1" t="s">
        <v>1696</v>
      </c>
      <c r="D1874" s="1" t="str">
        <f>IFERROR(__xludf.DUMMYFUNCTION("GOOGLETRANSLATE(C1874, ""zh-CN"", ""en"")"),"Xuzhou")</f>
        <v>Xuzhou</v>
      </c>
      <c r="E1874" s="1" t="s">
        <v>1728</v>
      </c>
      <c r="F1874" s="1" t="str">
        <f>IFERROR(__xludf.DUMMYFUNCTION("GOOGLETRANSLATE(E1874, ""zh-CN"", ""en"")"),"Tongshan District")</f>
        <v>Tongshan District</v>
      </c>
      <c r="G1874" s="1">
        <v>3.20312E11</v>
      </c>
    </row>
    <row r="1875">
      <c r="A1875" s="1" t="s">
        <v>1693</v>
      </c>
      <c r="B1875" s="1" t="str">
        <f>IFERROR(__xludf.DUMMYFUNCTION("GOOGLETRANSLATE(A1801, ""zh-CN"", ""en"")"),"Guizhou Province")</f>
        <v>Guizhou Province</v>
      </c>
      <c r="C1875" s="1" t="s">
        <v>1696</v>
      </c>
      <c r="D1875" s="1" t="str">
        <f>IFERROR(__xludf.DUMMYFUNCTION("GOOGLETRANSLATE(C1875, ""zh-CN"", ""en"")"),"Xuzhou")</f>
        <v>Xuzhou</v>
      </c>
      <c r="E1875" s="1" t="s">
        <v>1729</v>
      </c>
      <c r="F1875" s="1" t="str">
        <f>IFERROR(__xludf.DUMMYFUNCTION("GOOGLETRANSLATE(E1875, ""zh-CN"", ""en"")"),"Fengxian")</f>
        <v>Fengxian</v>
      </c>
      <c r="G1875" s="1">
        <v>3.20321E11</v>
      </c>
    </row>
    <row r="1876">
      <c r="A1876" s="1" t="s">
        <v>1693</v>
      </c>
      <c r="B1876" s="1" t="str">
        <f>IFERROR(__xludf.DUMMYFUNCTION("GOOGLETRANSLATE(A1802, ""zh-CN"", ""en"")"),"Guizhou Province")</f>
        <v>Guizhou Province</v>
      </c>
      <c r="C1876" s="1" t="s">
        <v>1696</v>
      </c>
      <c r="D1876" s="1" t="str">
        <f>IFERROR(__xludf.DUMMYFUNCTION("GOOGLETRANSLATE(C1876, ""zh-CN"", ""en"")"),"Xuzhou")</f>
        <v>Xuzhou</v>
      </c>
      <c r="E1876" s="1" t="s">
        <v>1730</v>
      </c>
      <c r="F1876" s="1" t="str">
        <f>IFERROR(__xludf.DUMMYFUNCTION("GOOGLETRANSLATE(E1876, ""zh-CN"", ""en"")"),"Pei County")</f>
        <v>Pei County</v>
      </c>
      <c r="G1876" s="1">
        <v>3.20322E11</v>
      </c>
    </row>
    <row r="1877">
      <c r="A1877" s="1" t="s">
        <v>1693</v>
      </c>
      <c r="B1877" s="1" t="str">
        <f>IFERROR(__xludf.DUMMYFUNCTION("GOOGLETRANSLATE(A1803, ""zh-CN"", ""en"")"),"Guizhou Province")</f>
        <v>Guizhou Province</v>
      </c>
      <c r="C1877" s="1" t="s">
        <v>1696</v>
      </c>
      <c r="D1877" s="1" t="str">
        <f>IFERROR(__xludf.DUMMYFUNCTION("GOOGLETRANSLATE(C1877, ""zh-CN"", ""en"")"),"Xuzhou")</f>
        <v>Xuzhou</v>
      </c>
      <c r="E1877" s="1" t="s">
        <v>1731</v>
      </c>
      <c r="F1877" s="1" t="str">
        <f>IFERROR(__xludf.DUMMYFUNCTION("GOOGLETRANSLATE(E1877, ""zh-CN"", ""en"")"),"Suining County")</f>
        <v>Suining County</v>
      </c>
      <c r="G1877" s="1">
        <v>3.20324E11</v>
      </c>
    </row>
    <row r="1878">
      <c r="A1878" s="1" t="s">
        <v>1693</v>
      </c>
      <c r="B1878" s="1" t="str">
        <f>IFERROR(__xludf.DUMMYFUNCTION("GOOGLETRANSLATE(A1804, ""zh-CN"", ""en"")"),"Guizhou Province")</f>
        <v>Guizhou Province</v>
      </c>
      <c r="C1878" s="1" t="s">
        <v>1696</v>
      </c>
      <c r="D1878" s="1" t="str">
        <f>IFERROR(__xludf.DUMMYFUNCTION("GOOGLETRANSLATE(C1878, ""zh-CN"", ""en"")"),"Xuzhou")</f>
        <v>Xuzhou</v>
      </c>
      <c r="E1878" s="1" t="s">
        <v>1732</v>
      </c>
      <c r="F1878" s="1" t="str">
        <f>IFERROR(__xludf.DUMMYFUNCTION("GOOGLETRANSLATE(E1878, ""zh-CN"", ""en"")"),"Xuzhou Economic and Technological Development Zone")</f>
        <v>Xuzhou Economic and Technological Development Zone</v>
      </c>
      <c r="G1878" s="1">
        <v>3.20371E11</v>
      </c>
    </row>
    <row r="1879">
      <c r="A1879" s="1" t="s">
        <v>1693</v>
      </c>
      <c r="B1879" s="1" t="str">
        <f>IFERROR(__xludf.DUMMYFUNCTION("GOOGLETRANSLATE(A1805, ""zh-CN"", ""en"")"),"Guizhou Province")</f>
        <v>Guizhou Province</v>
      </c>
      <c r="C1879" s="1" t="s">
        <v>1696</v>
      </c>
      <c r="D1879" s="1" t="str">
        <f>IFERROR(__xludf.DUMMYFUNCTION("GOOGLETRANSLATE(C1879, ""zh-CN"", ""en"")"),"Xuzhou")</f>
        <v>Xuzhou</v>
      </c>
      <c r="E1879" s="1" t="s">
        <v>1733</v>
      </c>
      <c r="F1879" s="1" t="str">
        <f>IFERROR(__xludf.DUMMYFUNCTION("GOOGLETRANSLATE(E1879, ""zh-CN"", ""en"")"),"Xinyi City")</f>
        <v>Xinyi City</v>
      </c>
      <c r="G1879" s="1">
        <v>3.20381E11</v>
      </c>
    </row>
    <row r="1880">
      <c r="A1880" s="1" t="s">
        <v>1693</v>
      </c>
      <c r="B1880" s="1" t="str">
        <f>IFERROR(__xludf.DUMMYFUNCTION("GOOGLETRANSLATE(A1806, ""zh-CN"", ""en"")"),"Guizhou Province")</f>
        <v>Guizhou Province</v>
      </c>
      <c r="C1880" s="1" t="s">
        <v>1696</v>
      </c>
      <c r="D1880" s="1" t="str">
        <f>IFERROR(__xludf.DUMMYFUNCTION("GOOGLETRANSLATE(C1880, ""zh-CN"", ""en"")"),"Xuzhou")</f>
        <v>Xuzhou</v>
      </c>
      <c r="E1880" s="1" t="s">
        <v>1734</v>
      </c>
      <c r="F1880" s="1" t="str">
        <f>IFERROR(__xludf.DUMMYFUNCTION("GOOGLETRANSLATE(E1880, ""zh-CN"", ""en"")"),"Dazhou City")</f>
        <v>Dazhou City</v>
      </c>
      <c r="G1880" s="1">
        <v>3.20382E11</v>
      </c>
    </row>
    <row r="1881">
      <c r="A1881" s="1" t="s">
        <v>1693</v>
      </c>
      <c r="B1881" s="1" t="str">
        <f>IFERROR(__xludf.DUMMYFUNCTION("GOOGLETRANSLATE(A1807, ""zh-CN"", ""en"")"),"Guizhou Province")</f>
        <v>Guizhou Province</v>
      </c>
      <c r="C1881" s="1" t="s">
        <v>1697</v>
      </c>
      <c r="D1881" s="1" t="str">
        <f>IFERROR(__xludf.DUMMYFUNCTION("GOOGLETRANSLATE(C1881, ""zh-CN"", ""en"")"),"Changzhou City")</f>
        <v>Changzhou City</v>
      </c>
      <c r="E1881" s="1" t="s">
        <v>24</v>
      </c>
      <c r="F1881" s="1" t="str">
        <f>IFERROR(__xludf.DUMMYFUNCTION("GOOGLETRANSLATE(E1881, ""zh-CN"", ""en"")"),"City area")</f>
        <v>City area</v>
      </c>
      <c r="G1881" s="1">
        <v>3.20401E11</v>
      </c>
    </row>
    <row r="1882">
      <c r="A1882" s="1" t="s">
        <v>1693</v>
      </c>
      <c r="B1882" s="1" t="str">
        <f>IFERROR(__xludf.DUMMYFUNCTION("GOOGLETRANSLATE(A1808, ""zh-CN"", ""en"")"),"Guizhou Province")</f>
        <v>Guizhou Province</v>
      </c>
      <c r="C1882" s="1" t="s">
        <v>1697</v>
      </c>
      <c r="D1882" s="1" t="str">
        <f>IFERROR(__xludf.DUMMYFUNCTION("GOOGLETRANSLATE(C1882, ""zh-CN"", ""en"")"),"Changzhou City")</f>
        <v>Changzhou City</v>
      </c>
      <c r="E1882" s="1" t="s">
        <v>1735</v>
      </c>
      <c r="F1882" s="1" t="str">
        <f>IFERROR(__xludf.DUMMYFUNCTION("GOOGLETRANSLATE(E1882, ""zh-CN"", ""en"")"),"Tianning District")</f>
        <v>Tianning District</v>
      </c>
      <c r="G1882" s="1">
        <v>3.20402E11</v>
      </c>
    </row>
    <row r="1883">
      <c r="A1883" s="1" t="s">
        <v>1693</v>
      </c>
      <c r="B1883" s="1" t="str">
        <f>IFERROR(__xludf.DUMMYFUNCTION("GOOGLETRANSLATE(A1809, ""zh-CN"", ""en"")"),"Guizhou Province")</f>
        <v>Guizhou Province</v>
      </c>
      <c r="C1883" s="1" t="s">
        <v>1697</v>
      </c>
      <c r="D1883" s="1" t="str">
        <f>IFERROR(__xludf.DUMMYFUNCTION("GOOGLETRANSLATE(C1883, ""zh-CN"", ""en"")"),"Changzhou City")</f>
        <v>Changzhou City</v>
      </c>
      <c r="E1883" s="1" t="s">
        <v>1736</v>
      </c>
      <c r="F1883" s="1" t="str">
        <f>IFERROR(__xludf.DUMMYFUNCTION("GOOGLETRANSLATE(E1883, ""zh-CN"", ""en"")"),"Clock area")</f>
        <v>Clock area</v>
      </c>
      <c r="G1883" s="1">
        <v>3.20404E11</v>
      </c>
    </row>
    <row r="1884">
      <c r="A1884" s="1" t="s">
        <v>1693</v>
      </c>
      <c r="B1884" s="1" t="str">
        <f>IFERROR(__xludf.DUMMYFUNCTION("GOOGLETRANSLATE(A1810, ""zh-CN"", ""en"")"),"Guizhou Province")</f>
        <v>Guizhou Province</v>
      </c>
      <c r="C1884" s="1" t="s">
        <v>1697</v>
      </c>
      <c r="D1884" s="1" t="str">
        <f>IFERROR(__xludf.DUMMYFUNCTION("GOOGLETRANSLATE(C1884, ""zh-CN"", ""en"")"),"Changzhou City")</f>
        <v>Changzhou City</v>
      </c>
      <c r="E1884" s="1" t="s">
        <v>1737</v>
      </c>
      <c r="F1884" s="1" t="str">
        <f>IFERROR(__xludf.DUMMYFUNCTION("GOOGLETRANSLATE(E1884, ""zh-CN"", ""en"")"),"Xinbei District")</f>
        <v>Xinbei District</v>
      </c>
      <c r="G1884" s="1">
        <v>3.20411E11</v>
      </c>
    </row>
    <row r="1885">
      <c r="A1885" s="1" t="s">
        <v>1693</v>
      </c>
      <c r="B1885" s="1" t="str">
        <f>IFERROR(__xludf.DUMMYFUNCTION("GOOGLETRANSLATE(A1811, ""zh-CN"", ""en"")"),"Guizhou Province")</f>
        <v>Guizhou Province</v>
      </c>
      <c r="C1885" s="1" t="s">
        <v>1697</v>
      </c>
      <c r="D1885" s="1" t="str">
        <f>IFERROR(__xludf.DUMMYFUNCTION("GOOGLETRANSLATE(C1885, ""zh-CN"", ""en"")"),"Changzhou City")</f>
        <v>Changzhou City</v>
      </c>
      <c r="E1885" s="1" t="s">
        <v>1738</v>
      </c>
      <c r="F1885" s="1" t="str">
        <f>IFERROR(__xludf.DUMMYFUNCTION("GOOGLETRANSLATE(E1885, ""zh-CN"", ""en"")"),"Wujin District")</f>
        <v>Wujin District</v>
      </c>
      <c r="G1885" s="1">
        <v>3.20412E11</v>
      </c>
    </row>
    <row r="1886">
      <c r="A1886" s="1" t="s">
        <v>1693</v>
      </c>
      <c r="B1886" s="1" t="str">
        <f>IFERROR(__xludf.DUMMYFUNCTION("GOOGLETRANSLATE(A1812, ""zh-CN"", ""en"")"),"Guizhou Province")</f>
        <v>Guizhou Province</v>
      </c>
      <c r="C1886" s="1" t="s">
        <v>1697</v>
      </c>
      <c r="D1886" s="1" t="str">
        <f>IFERROR(__xludf.DUMMYFUNCTION("GOOGLETRANSLATE(C1886, ""zh-CN"", ""en"")"),"Changzhou City")</f>
        <v>Changzhou City</v>
      </c>
      <c r="E1886" s="1" t="s">
        <v>1739</v>
      </c>
      <c r="F1886" s="1" t="str">
        <f>IFERROR(__xludf.DUMMYFUNCTION("GOOGLETRANSLATE(E1886, ""zh-CN"", ""en"")"),"Golden altan area")</f>
        <v>Golden altan area</v>
      </c>
      <c r="G1886" s="1">
        <v>3.20413E11</v>
      </c>
    </row>
    <row r="1887">
      <c r="A1887" s="1" t="s">
        <v>1693</v>
      </c>
      <c r="B1887" s="1" t="str">
        <f>IFERROR(__xludf.DUMMYFUNCTION("GOOGLETRANSLATE(A1813, ""zh-CN"", ""en"")"),"Guizhou Province")</f>
        <v>Guizhou Province</v>
      </c>
      <c r="C1887" s="1" t="s">
        <v>1697</v>
      </c>
      <c r="D1887" s="1" t="str">
        <f>IFERROR(__xludf.DUMMYFUNCTION("GOOGLETRANSLATE(C1887, ""zh-CN"", ""en"")"),"Changzhou City")</f>
        <v>Changzhou City</v>
      </c>
      <c r="E1887" s="1" t="s">
        <v>1740</v>
      </c>
      <c r="F1887" s="1" t="str">
        <f>IFERROR(__xludf.DUMMYFUNCTION("GOOGLETRANSLATE(E1887, ""zh-CN"", ""en"")"),"Puyang City")</f>
        <v>Puyang City</v>
      </c>
      <c r="G1887" s="1">
        <v>3.20481E11</v>
      </c>
    </row>
    <row r="1888">
      <c r="A1888" s="1" t="s">
        <v>1693</v>
      </c>
      <c r="B1888" s="1" t="str">
        <f>IFERROR(__xludf.DUMMYFUNCTION("GOOGLETRANSLATE(A1814, ""zh-CN"", ""en"")"),"Guizhou Province")</f>
        <v>Guizhou Province</v>
      </c>
      <c r="C1888" s="1" t="s">
        <v>1698</v>
      </c>
      <c r="D1888" s="1" t="str">
        <f>IFERROR(__xludf.DUMMYFUNCTION("GOOGLETRANSLATE(C1888, ""zh-CN"", ""en"")"),"Suzhou City")</f>
        <v>Suzhou City</v>
      </c>
      <c r="E1888" s="1" t="s">
        <v>24</v>
      </c>
      <c r="F1888" s="1" t="str">
        <f>IFERROR(__xludf.DUMMYFUNCTION("GOOGLETRANSLATE(E1888, ""zh-CN"", ""en"")"),"City area")</f>
        <v>City area</v>
      </c>
      <c r="G1888" s="1">
        <v>3.20501E11</v>
      </c>
    </row>
    <row r="1889">
      <c r="A1889" s="1" t="s">
        <v>1693</v>
      </c>
      <c r="B1889" s="1" t="str">
        <f>IFERROR(__xludf.DUMMYFUNCTION("GOOGLETRANSLATE(A1815, ""zh-CN"", ""en"")"),"Guizhou Province")</f>
        <v>Guizhou Province</v>
      </c>
      <c r="C1889" s="1" t="s">
        <v>1698</v>
      </c>
      <c r="D1889" s="1" t="str">
        <f>IFERROR(__xludf.DUMMYFUNCTION("GOOGLETRANSLATE(C1889, ""zh-CN"", ""en"")"),"Suzhou City")</f>
        <v>Suzhou City</v>
      </c>
      <c r="E1889" s="1" t="s">
        <v>1741</v>
      </c>
      <c r="F1889" s="1" t="str">
        <f>IFERROR(__xludf.DUMMYFUNCTION("GOOGLETRANSLATE(E1889, ""zh-CN"", ""en"")"),"Huqiu District")</f>
        <v>Huqiu District</v>
      </c>
      <c r="G1889" s="1">
        <v>3.20505E11</v>
      </c>
    </row>
    <row r="1890">
      <c r="A1890" s="1" t="s">
        <v>1693</v>
      </c>
      <c r="B1890" s="1" t="str">
        <f>IFERROR(__xludf.DUMMYFUNCTION("GOOGLETRANSLATE(A1816, ""zh-CN"", ""en"")"),"Guizhou Province")</f>
        <v>Guizhou Province</v>
      </c>
      <c r="C1890" s="1" t="s">
        <v>1698</v>
      </c>
      <c r="D1890" s="1" t="str">
        <f>IFERROR(__xludf.DUMMYFUNCTION("GOOGLETRANSLATE(C1890, ""zh-CN"", ""en"")"),"Suzhou City")</f>
        <v>Suzhou City</v>
      </c>
      <c r="E1890" s="1" t="s">
        <v>1742</v>
      </c>
      <c r="F1890" s="1" t="str">
        <f>IFERROR(__xludf.DUMMYFUNCTION("GOOGLETRANSLATE(E1890, ""zh-CN"", ""en"")"),"Wuzhong District")</f>
        <v>Wuzhong District</v>
      </c>
      <c r="G1890" s="1">
        <v>3.20506E11</v>
      </c>
    </row>
    <row r="1891">
      <c r="A1891" s="1" t="s">
        <v>1693</v>
      </c>
      <c r="B1891" s="1" t="str">
        <f>IFERROR(__xludf.DUMMYFUNCTION("GOOGLETRANSLATE(A1817, ""zh-CN"", ""en"")"),"Guizhou Province")</f>
        <v>Guizhou Province</v>
      </c>
      <c r="C1891" s="1" t="s">
        <v>1698</v>
      </c>
      <c r="D1891" s="1" t="str">
        <f>IFERROR(__xludf.DUMMYFUNCTION("GOOGLETRANSLATE(C1891, ""zh-CN"", ""en"")"),"Suzhou City")</f>
        <v>Suzhou City</v>
      </c>
      <c r="E1891" s="1" t="s">
        <v>1743</v>
      </c>
      <c r="F1891" s="1" t="str">
        <f>IFERROR(__xludf.DUMMYFUNCTION("GOOGLETRANSLATE(E1891, ""zh-CN"", ""en"")"),"Phase city")</f>
        <v>Phase city</v>
      </c>
      <c r="G1891" s="1">
        <v>3.20507E11</v>
      </c>
    </row>
    <row r="1892">
      <c r="A1892" s="1" t="s">
        <v>1693</v>
      </c>
      <c r="B1892" s="1" t="str">
        <f>IFERROR(__xludf.DUMMYFUNCTION("GOOGLETRANSLATE(A1818, ""zh-CN"", ""en"")"),"Guizhou Province")</f>
        <v>Guizhou Province</v>
      </c>
      <c r="C1892" s="1" t="s">
        <v>1698</v>
      </c>
      <c r="D1892" s="1" t="str">
        <f>IFERROR(__xludf.DUMMYFUNCTION("GOOGLETRANSLATE(C1892, ""zh-CN"", ""en"")"),"Suzhou City")</f>
        <v>Suzhou City</v>
      </c>
      <c r="E1892" s="1" t="s">
        <v>1744</v>
      </c>
      <c r="F1892" s="1" t="str">
        <f>IFERROR(__xludf.DUMMYFUNCTION("GOOGLETRANSLATE(E1892, ""zh-CN"", ""en"")"),"Gusu District")</f>
        <v>Gusu District</v>
      </c>
      <c r="G1892" s="1">
        <v>3.20508E11</v>
      </c>
    </row>
    <row r="1893">
      <c r="A1893" s="1" t="s">
        <v>1693</v>
      </c>
      <c r="B1893" s="1" t="str">
        <f>IFERROR(__xludf.DUMMYFUNCTION("GOOGLETRANSLATE(A1819, ""zh-CN"", ""en"")"),"Guizhou Province")</f>
        <v>Guizhou Province</v>
      </c>
      <c r="C1893" s="1" t="s">
        <v>1698</v>
      </c>
      <c r="D1893" s="1" t="str">
        <f>IFERROR(__xludf.DUMMYFUNCTION("GOOGLETRANSLATE(C1893, ""zh-CN"", ""en"")"),"Suzhou City")</f>
        <v>Suzhou City</v>
      </c>
      <c r="E1893" s="1" t="s">
        <v>1745</v>
      </c>
      <c r="F1893" s="1" t="str">
        <f>IFERROR(__xludf.DUMMYFUNCTION("GOOGLETRANSLATE(E1893, ""zh-CN"", ""en"")"),"Wujiang District")</f>
        <v>Wujiang District</v>
      </c>
      <c r="G1893" s="1">
        <v>3.20509E11</v>
      </c>
    </row>
    <row r="1894">
      <c r="A1894" s="1" t="s">
        <v>1693</v>
      </c>
      <c r="B1894" s="1" t="str">
        <f>IFERROR(__xludf.DUMMYFUNCTION("GOOGLETRANSLATE(A1820, ""zh-CN"", ""en"")"),"Guizhou Province")</f>
        <v>Guizhou Province</v>
      </c>
      <c r="C1894" s="1" t="s">
        <v>1698</v>
      </c>
      <c r="D1894" s="1" t="str">
        <f>IFERROR(__xludf.DUMMYFUNCTION("GOOGLETRANSLATE(C1894, ""zh-CN"", ""en"")"),"Suzhou City")</f>
        <v>Suzhou City</v>
      </c>
      <c r="E1894" s="1" t="s">
        <v>1746</v>
      </c>
      <c r="F1894" s="1" t="str">
        <f>IFERROR(__xludf.DUMMYFUNCTION("GOOGLETRANSLATE(E1894, ""zh-CN"", ""en"")"),"Suzhou Industrial Park")</f>
        <v>Suzhou Industrial Park</v>
      </c>
      <c r="G1894" s="1">
        <v>3.20571E11</v>
      </c>
    </row>
    <row r="1895">
      <c r="A1895" s="1" t="s">
        <v>1693</v>
      </c>
      <c r="B1895" s="1" t="str">
        <f>IFERROR(__xludf.DUMMYFUNCTION("GOOGLETRANSLATE(A1821, ""zh-CN"", ""en"")"),"Guizhou Province")</f>
        <v>Guizhou Province</v>
      </c>
      <c r="C1895" s="1" t="s">
        <v>1698</v>
      </c>
      <c r="D1895" s="1" t="str">
        <f>IFERROR(__xludf.DUMMYFUNCTION("GOOGLETRANSLATE(C1895, ""zh-CN"", ""en"")"),"Suzhou City")</f>
        <v>Suzhou City</v>
      </c>
      <c r="E1895" s="1" t="s">
        <v>1747</v>
      </c>
      <c r="F1895" s="1" t="str">
        <f>IFERROR(__xludf.DUMMYFUNCTION("GOOGLETRANSLATE(E1895, ""zh-CN"", ""en"")"),"Changshu")</f>
        <v>Changshu</v>
      </c>
      <c r="G1895" s="1">
        <v>3.20581E11</v>
      </c>
    </row>
    <row r="1896">
      <c r="A1896" s="1" t="s">
        <v>1693</v>
      </c>
      <c r="B1896" s="1" t="str">
        <f>IFERROR(__xludf.DUMMYFUNCTION("GOOGLETRANSLATE(A1822, ""zh-CN"", ""en"")"),"Guizhou Province")</f>
        <v>Guizhou Province</v>
      </c>
      <c r="C1896" s="1" t="s">
        <v>1698</v>
      </c>
      <c r="D1896" s="1" t="str">
        <f>IFERROR(__xludf.DUMMYFUNCTION("GOOGLETRANSLATE(C1896, ""zh-CN"", ""en"")"),"Suzhou City")</f>
        <v>Suzhou City</v>
      </c>
      <c r="E1896" s="1" t="s">
        <v>1748</v>
      </c>
      <c r="F1896" s="1" t="str">
        <f>IFERROR(__xludf.DUMMYFUNCTION("GOOGLETRANSLATE(E1896, ""zh-CN"", ""en"")"),"Zhangjiagang City")</f>
        <v>Zhangjiagang City</v>
      </c>
      <c r="G1896" s="1">
        <v>3.20582E11</v>
      </c>
    </row>
    <row r="1897">
      <c r="A1897" s="1" t="s">
        <v>1693</v>
      </c>
      <c r="B1897" s="1" t="str">
        <f>IFERROR(__xludf.DUMMYFUNCTION("GOOGLETRANSLATE(A1823, ""zh-CN"", ""en"")"),"Guizhou Province")</f>
        <v>Guizhou Province</v>
      </c>
      <c r="C1897" s="1" t="s">
        <v>1698</v>
      </c>
      <c r="D1897" s="1" t="str">
        <f>IFERROR(__xludf.DUMMYFUNCTION("GOOGLETRANSLATE(C1897, ""zh-CN"", ""en"")"),"Suzhou City")</f>
        <v>Suzhou City</v>
      </c>
      <c r="E1897" s="1" t="s">
        <v>1749</v>
      </c>
      <c r="F1897" s="1" t="str">
        <f>IFERROR(__xludf.DUMMYFUNCTION("GOOGLETRANSLATE(E1897, ""zh-CN"", ""en"")"),"Kunshan")</f>
        <v>Kunshan</v>
      </c>
      <c r="G1897" s="1">
        <v>3.20583E11</v>
      </c>
    </row>
    <row r="1898">
      <c r="A1898" s="1" t="s">
        <v>1693</v>
      </c>
      <c r="B1898" s="1" t="str">
        <f>IFERROR(__xludf.DUMMYFUNCTION("GOOGLETRANSLATE(A1824, ""zh-CN"", ""en"")"),"Guizhou Province")</f>
        <v>Guizhou Province</v>
      </c>
      <c r="C1898" s="1" t="s">
        <v>1698</v>
      </c>
      <c r="D1898" s="1" t="str">
        <f>IFERROR(__xludf.DUMMYFUNCTION("GOOGLETRANSLATE(C1898, ""zh-CN"", ""en"")"),"Suzhou City")</f>
        <v>Suzhou City</v>
      </c>
      <c r="E1898" s="1" t="s">
        <v>1750</v>
      </c>
      <c r="F1898" s="1" t="str">
        <f>IFERROR(__xludf.DUMMYFUNCTION("GOOGLETRANSLATE(E1898, ""zh-CN"", ""en"")"),"Taicang City")</f>
        <v>Taicang City</v>
      </c>
      <c r="G1898" s="1">
        <v>3.20585E11</v>
      </c>
    </row>
    <row r="1899">
      <c r="A1899" s="1" t="s">
        <v>1693</v>
      </c>
      <c r="B1899" s="1" t="str">
        <f>IFERROR(__xludf.DUMMYFUNCTION("GOOGLETRANSLATE(A1825, ""zh-CN"", ""en"")"),"Guizhou Province")</f>
        <v>Guizhou Province</v>
      </c>
      <c r="C1899" s="1" t="s">
        <v>1699</v>
      </c>
      <c r="D1899" s="1" t="str">
        <f>IFERROR(__xludf.DUMMYFUNCTION("GOOGLETRANSLATE(C1899, ""zh-CN"", ""en"")"),"Nantong city")</f>
        <v>Nantong city</v>
      </c>
      <c r="E1899" s="1" t="s">
        <v>24</v>
      </c>
      <c r="F1899" s="1" t="str">
        <f>IFERROR(__xludf.DUMMYFUNCTION("GOOGLETRANSLATE(E1899, ""zh-CN"", ""en"")"),"City area")</f>
        <v>City area</v>
      </c>
      <c r="G1899" s="1">
        <v>3.20601E11</v>
      </c>
    </row>
    <row r="1900">
      <c r="A1900" s="1" t="s">
        <v>1693</v>
      </c>
      <c r="B1900" s="1" t="str">
        <f>IFERROR(__xludf.DUMMYFUNCTION("GOOGLETRANSLATE(A1826, ""zh-CN"", ""en"")"),"Guizhou Province")</f>
        <v>Guizhou Province</v>
      </c>
      <c r="C1900" s="1" t="s">
        <v>1699</v>
      </c>
      <c r="D1900" s="1" t="str">
        <f>IFERROR(__xludf.DUMMYFUNCTION("GOOGLETRANSLATE(C1900, ""zh-CN"", ""en"")"),"Nantong city")</f>
        <v>Nantong city</v>
      </c>
      <c r="E1900" s="1" t="s">
        <v>1751</v>
      </c>
      <c r="F1900" s="1" t="str">
        <f>IFERROR(__xludf.DUMMYFUNCTION("GOOGLETRANSLATE(E1900, ""zh-CN"", ""en"")"),"Tongzhou District")</f>
        <v>Tongzhou District</v>
      </c>
      <c r="G1900" s="1">
        <v>3.20612E11</v>
      </c>
    </row>
    <row r="1901">
      <c r="A1901" s="1" t="s">
        <v>1693</v>
      </c>
      <c r="B1901" s="1" t="str">
        <f>IFERROR(__xludf.DUMMYFUNCTION("GOOGLETRANSLATE(A1827, ""zh-CN"", ""en"")"),"Guizhou Province")</f>
        <v>Guizhou Province</v>
      </c>
      <c r="C1901" s="1" t="s">
        <v>1699</v>
      </c>
      <c r="D1901" s="1" t="str">
        <f>IFERROR(__xludf.DUMMYFUNCTION("GOOGLETRANSLATE(C1901, ""zh-CN"", ""en"")"),"Nantong city")</f>
        <v>Nantong city</v>
      </c>
      <c r="E1901" s="1" t="s">
        <v>1752</v>
      </c>
      <c r="F1901" s="1" t="str">
        <f>IFERROR(__xludf.DUMMYFUNCTION("GOOGLETRANSLATE(E1901, ""zh-CN"", ""en"")"),"Chongchuan District")</f>
        <v>Chongchuan District</v>
      </c>
      <c r="G1901" s="1">
        <v>3.20613E11</v>
      </c>
    </row>
    <row r="1902">
      <c r="A1902" s="1" t="s">
        <v>1693</v>
      </c>
      <c r="B1902" s="1" t="str">
        <f>IFERROR(__xludf.DUMMYFUNCTION("GOOGLETRANSLATE(A1828, ""zh-CN"", ""en"")"),"Guizhou Province")</f>
        <v>Guizhou Province</v>
      </c>
      <c r="C1902" s="1" t="s">
        <v>1699</v>
      </c>
      <c r="D1902" s="1" t="str">
        <f>IFERROR(__xludf.DUMMYFUNCTION("GOOGLETRANSLATE(C1902, ""zh-CN"", ""en"")"),"Nantong city")</f>
        <v>Nantong city</v>
      </c>
      <c r="E1902" s="1" t="s">
        <v>1753</v>
      </c>
      <c r="F1902" s="1" t="str">
        <f>IFERROR(__xludf.DUMMYFUNCTION("GOOGLETRANSLATE(E1902, ""zh-CN"", ""en"")"),"Sea gate area")</f>
        <v>Sea gate area</v>
      </c>
      <c r="G1902" s="1">
        <v>3.20614E11</v>
      </c>
    </row>
    <row r="1903">
      <c r="A1903" s="1" t="s">
        <v>1693</v>
      </c>
      <c r="B1903" s="1" t="str">
        <f>IFERROR(__xludf.DUMMYFUNCTION("GOOGLETRANSLATE(A1829, ""zh-CN"", ""en"")"),"Guizhou Province")</f>
        <v>Guizhou Province</v>
      </c>
      <c r="C1903" s="1" t="s">
        <v>1699</v>
      </c>
      <c r="D1903" s="1" t="str">
        <f>IFERROR(__xludf.DUMMYFUNCTION("GOOGLETRANSLATE(C1903, ""zh-CN"", ""en"")"),"Nantong city")</f>
        <v>Nantong city</v>
      </c>
      <c r="E1903" s="1" t="s">
        <v>1754</v>
      </c>
      <c r="F1903" s="1" t="str">
        <f>IFERROR(__xludf.DUMMYFUNCTION("GOOGLETRANSLATE(E1903, ""zh-CN"", ""en"")"),"Rudong County")</f>
        <v>Rudong County</v>
      </c>
      <c r="G1903" s="1">
        <v>3.20623E11</v>
      </c>
    </row>
    <row r="1904">
      <c r="A1904" s="1" t="s">
        <v>1693</v>
      </c>
      <c r="B1904" s="1" t="str">
        <f>IFERROR(__xludf.DUMMYFUNCTION("GOOGLETRANSLATE(A1830, ""zh-CN"", ""en"")"),"Guizhou Province")</f>
        <v>Guizhou Province</v>
      </c>
      <c r="C1904" s="1" t="s">
        <v>1699</v>
      </c>
      <c r="D1904" s="1" t="str">
        <f>IFERROR(__xludf.DUMMYFUNCTION("GOOGLETRANSLATE(C1904, ""zh-CN"", ""en"")"),"Nantong city")</f>
        <v>Nantong city</v>
      </c>
      <c r="E1904" s="1" t="s">
        <v>1755</v>
      </c>
      <c r="F1904" s="1" t="str">
        <f>IFERROR(__xludf.DUMMYFUNCTION("GOOGLETRANSLATE(E1904, ""zh-CN"", ""en"")"),"Nantong Economic and Technological Development Zone")</f>
        <v>Nantong Economic and Technological Development Zone</v>
      </c>
      <c r="G1904" s="1">
        <v>3.20671E11</v>
      </c>
    </row>
    <row r="1905">
      <c r="A1905" s="1" t="s">
        <v>1693</v>
      </c>
      <c r="B1905" s="1" t="str">
        <f>IFERROR(__xludf.DUMMYFUNCTION("GOOGLETRANSLATE(A1831, ""zh-CN"", ""en"")"),"Guizhou Province")</f>
        <v>Guizhou Province</v>
      </c>
      <c r="C1905" s="1" t="s">
        <v>1699</v>
      </c>
      <c r="D1905" s="1" t="str">
        <f>IFERROR(__xludf.DUMMYFUNCTION("GOOGLETRANSLATE(C1905, ""zh-CN"", ""en"")"),"Nantong city")</f>
        <v>Nantong city</v>
      </c>
      <c r="E1905" s="1" t="s">
        <v>1756</v>
      </c>
      <c r="F1905" s="1" t="str">
        <f>IFERROR(__xludf.DUMMYFUNCTION("GOOGLETRANSLATE(E1905, ""zh-CN"", ""en"")"),"Qidong City")</f>
        <v>Qidong City</v>
      </c>
      <c r="G1905" s="1">
        <v>3.20681E11</v>
      </c>
    </row>
    <row r="1906">
      <c r="A1906" s="1" t="s">
        <v>1693</v>
      </c>
      <c r="B1906" s="1" t="str">
        <f>IFERROR(__xludf.DUMMYFUNCTION("GOOGLETRANSLATE(A1832, ""zh-CN"", ""en"")"),"Guizhou Province")</f>
        <v>Guizhou Province</v>
      </c>
      <c r="C1906" s="1" t="s">
        <v>1699</v>
      </c>
      <c r="D1906" s="1" t="str">
        <f>IFERROR(__xludf.DUMMYFUNCTION("GOOGLETRANSLATE(C1906, ""zh-CN"", ""en"")"),"Nantong city")</f>
        <v>Nantong city</v>
      </c>
      <c r="E1906" s="1" t="s">
        <v>1757</v>
      </c>
      <c r="F1906" s="1" t="str">
        <f>IFERROR(__xludf.DUMMYFUNCTION("GOOGLETRANSLATE(E1906, ""zh-CN"", ""en"")"),"Rugao")</f>
        <v>Rugao</v>
      </c>
      <c r="G1906" s="1">
        <v>3.20682E11</v>
      </c>
    </row>
    <row r="1907">
      <c r="A1907" s="1" t="s">
        <v>1693</v>
      </c>
      <c r="B1907" s="1" t="str">
        <f>IFERROR(__xludf.DUMMYFUNCTION("GOOGLETRANSLATE(A1833, ""zh-CN"", ""en"")"),"Guizhou Province")</f>
        <v>Guizhou Province</v>
      </c>
      <c r="C1907" s="1" t="s">
        <v>1699</v>
      </c>
      <c r="D1907" s="1" t="str">
        <f>IFERROR(__xludf.DUMMYFUNCTION("GOOGLETRANSLATE(C1907, ""zh-CN"", ""en"")"),"Nantong city")</f>
        <v>Nantong city</v>
      </c>
      <c r="E1907" s="1" t="s">
        <v>1758</v>
      </c>
      <c r="F1907" s="1" t="str">
        <f>IFERROR(__xludf.DUMMYFUNCTION("GOOGLETRANSLATE(E1907, ""zh-CN"", ""en"")"),"Hai'an City")</f>
        <v>Hai'an City</v>
      </c>
      <c r="G1907" s="1">
        <v>3.20685E11</v>
      </c>
    </row>
    <row r="1908">
      <c r="A1908" s="1" t="s">
        <v>1693</v>
      </c>
      <c r="B1908" s="1" t="str">
        <f>IFERROR(__xludf.DUMMYFUNCTION("GOOGLETRANSLATE(A1834, ""zh-CN"", ""en"")"),"Guizhou Province")</f>
        <v>Guizhou Province</v>
      </c>
      <c r="C1908" s="1" t="s">
        <v>1700</v>
      </c>
      <c r="D1908" s="1" t="str">
        <f>IFERROR(__xludf.DUMMYFUNCTION("GOOGLETRANSLATE(C1908, ""zh-CN"", ""en"")"),"Lianyungang City")</f>
        <v>Lianyungang City</v>
      </c>
      <c r="E1908" s="1" t="s">
        <v>24</v>
      </c>
      <c r="F1908" s="1" t="str">
        <f>IFERROR(__xludf.DUMMYFUNCTION("GOOGLETRANSLATE(E1908, ""zh-CN"", ""en"")"),"City area")</f>
        <v>City area</v>
      </c>
      <c r="G1908" s="1">
        <v>3.20701E11</v>
      </c>
    </row>
    <row r="1909">
      <c r="A1909" s="1" t="s">
        <v>1693</v>
      </c>
      <c r="B1909" s="1" t="str">
        <f>IFERROR(__xludf.DUMMYFUNCTION("GOOGLETRANSLATE(A1835, ""zh-CN"", ""en"")"),"Jiangsu Province")</f>
        <v>Jiangsu Province</v>
      </c>
      <c r="C1909" s="1" t="s">
        <v>1700</v>
      </c>
      <c r="D1909" s="1" t="str">
        <f>IFERROR(__xludf.DUMMYFUNCTION("GOOGLETRANSLATE(C1909, ""zh-CN"", ""en"")"),"Lianyungang City")</f>
        <v>Lianyungang City</v>
      </c>
      <c r="E1909" s="1" t="s">
        <v>1759</v>
      </c>
      <c r="F1909" s="1" t="str">
        <f>IFERROR(__xludf.DUMMYFUNCTION("GOOGLETRANSLATE(E1909, ""zh-CN"", ""en"")"),"Lianyun District")</f>
        <v>Lianyun District</v>
      </c>
      <c r="G1909" s="1">
        <v>3.20703E11</v>
      </c>
    </row>
    <row r="1910">
      <c r="A1910" s="1" t="s">
        <v>1693</v>
      </c>
      <c r="B1910" s="1" t="str">
        <f>IFERROR(__xludf.DUMMYFUNCTION("GOOGLETRANSLATE(A1836, ""zh-CN"", ""en"")"),"Jiangsu Province")</f>
        <v>Jiangsu Province</v>
      </c>
      <c r="C1910" s="1" t="s">
        <v>1700</v>
      </c>
      <c r="D1910" s="1" t="str">
        <f>IFERROR(__xludf.DUMMYFUNCTION("GOOGLETRANSLATE(C1910, ""zh-CN"", ""en"")"),"Lianyungang City")</f>
        <v>Lianyungang City</v>
      </c>
      <c r="E1910" s="1" t="s">
        <v>1760</v>
      </c>
      <c r="F1910" s="1" t="str">
        <f>IFERROR(__xludf.DUMMYFUNCTION("GOOGLETRANSLATE(E1910, ""zh-CN"", ""en"")"),"Haizhou District")</f>
        <v>Haizhou District</v>
      </c>
      <c r="G1910" s="1">
        <v>3.20706E11</v>
      </c>
    </row>
    <row r="1911">
      <c r="A1911" s="1" t="s">
        <v>1693</v>
      </c>
      <c r="B1911" s="1" t="str">
        <f>IFERROR(__xludf.DUMMYFUNCTION("GOOGLETRANSLATE(A1837, ""zh-CN"", ""en"")"),"Jiangsu Province")</f>
        <v>Jiangsu Province</v>
      </c>
      <c r="C1911" s="1" t="s">
        <v>1700</v>
      </c>
      <c r="D1911" s="1" t="str">
        <f>IFERROR(__xludf.DUMMYFUNCTION("GOOGLETRANSLATE(C1911, ""zh-CN"", ""en"")"),"Lianyungang City")</f>
        <v>Lianyungang City</v>
      </c>
      <c r="E1911" s="1" t="s">
        <v>1761</v>
      </c>
      <c r="F1911" s="1" t="str">
        <f>IFERROR(__xludf.DUMMYFUNCTION("GOOGLETRANSLATE(E1911, ""zh-CN"", ""en"")"),"Ganyu District")</f>
        <v>Ganyu District</v>
      </c>
      <c r="G1911" s="1">
        <v>3.20707E11</v>
      </c>
    </row>
    <row r="1912">
      <c r="A1912" s="1" t="s">
        <v>1693</v>
      </c>
      <c r="B1912" s="1" t="str">
        <f>IFERROR(__xludf.DUMMYFUNCTION("GOOGLETRANSLATE(A1838, ""zh-CN"", ""en"")"),"Jiangsu Province")</f>
        <v>Jiangsu Province</v>
      </c>
      <c r="C1912" s="1" t="s">
        <v>1700</v>
      </c>
      <c r="D1912" s="1" t="str">
        <f>IFERROR(__xludf.DUMMYFUNCTION("GOOGLETRANSLATE(C1912, ""zh-CN"", ""en"")"),"Lianyungang City")</f>
        <v>Lianyungang City</v>
      </c>
      <c r="E1912" s="1" t="s">
        <v>1762</v>
      </c>
      <c r="F1912" s="1" t="str">
        <f>IFERROR(__xludf.DUMMYFUNCTION("GOOGLETRANSLATE(E1912, ""zh-CN"", ""en"")"),"Donghai County")</f>
        <v>Donghai County</v>
      </c>
      <c r="G1912" s="1">
        <v>3.20722E11</v>
      </c>
    </row>
    <row r="1913">
      <c r="A1913" s="1" t="s">
        <v>1693</v>
      </c>
      <c r="B1913" s="1" t="str">
        <f>IFERROR(__xludf.DUMMYFUNCTION("GOOGLETRANSLATE(A1839, ""zh-CN"", ""en"")"),"Jiangsu Province")</f>
        <v>Jiangsu Province</v>
      </c>
      <c r="C1913" s="1" t="s">
        <v>1700</v>
      </c>
      <c r="D1913" s="1" t="str">
        <f>IFERROR(__xludf.DUMMYFUNCTION("GOOGLETRANSLATE(C1913, ""zh-CN"", ""en"")"),"Lianyungang City")</f>
        <v>Lianyungang City</v>
      </c>
      <c r="E1913" s="1" t="s">
        <v>1763</v>
      </c>
      <c r="F1913" s="1" t="str">
        <f>IFERROR(__xludf.DUMMYFUNCTION("GOOGLETRANSLATE(E1913, ""zh-CN"", ""en"")"),"Guanyun County")</f>
        <v>Guanyun County</v>
      </c>
      <c r="G1913" s="1">
        <v>3.20723E11</v>
      </c>
    </row>
    <row r="1914">
      <c r="A1914" s="1" t="s">
        <v>1693</v>
      </c>
      <c r="B1914" s="1" t="str">
        <f>IFERROR(__xludf.DUMMYFUNCTION("GOOGLETRANSLATE(A1840, ""zh-CN"", ""en"")"),"Jiangsu Province")</f>
        <v>Jiangsu Province</v>
      </c>
      <c r="C1914" s="1" t="s">
        <v>1700</v>
      </c>
      <c r="D1914" s="1" t="str">
        <f>IFERROR(__xludf.DUMMYFUNCTION("GOOGLETRANSLATE(C1914, ""zh-CN"", ""en"")"),"Lianyungang City")</f>
        <v>Lianyungang City</v>
      </c>
      <c r="E1914" s="1" t="s">
        <v>1764</v>
      </c>
      <c r="F1914" s="1" t="str">
        <f>IFERROR(__xludf.DUMMYFUNCTION("GOOGLETRANSLATE(E1914, ""zh-CN"", ""en"")"),"Guannan County")</f>
        <v>Guannan County</v>
      </c>
      <c r="G1914" s="1">
        <v>3.20724E11</v>
      </c>
    </row>
    <row r="1915">
      <c r="A1915" s="1" t="s">
        <v>1693</v>
      </c>
      <c r="B1915" s="1" t="str">
        <f>IFERROR(__xludf.DUMMYFUNCTION("GOOGLETRANSLATE(A1841, ""zh-CN"", ""en"")"),"Jiangsu Province")</f>
        <v>Jiangsu Province</v>
      </c>
      <c r="C1915" s="1" t="s">
        <v>1700</v>
      </c>
      <c r="D1915" s="1" t="str">
        <f>IFERROR(__xludf.DUMMYFUNCTION("GOOGLETRANSLATE(C1915, ""zh-CN"", ""en"")"),"Lianyungang City")</f>
        <v>Lianyungang City</v>
      </c>
      <c r="E1915" s="1" t="s">
        <v>1765</v>
      </c>
      <c r="F1915" s="1" t="str">
        <f>IFERROR(__xludf.DUMMYFUNCTION("GOOGLETRANSLATE(E1915, ""zh-CN"", ""en"")"),"Lianyungang Economic and Technological Development Zone")</f>
        <v>Lianyungang Economic and Technological Development Zone</v>
      </c>
      <c r="G1915" s="1">
        <v>3.20771E11</v>
      </c>
    </row>
    <row r="1916">
      <c r="A1916" s="1" t="s">
        <v>1693</v>
      </c>
      <c r="B1916" s="1" t="str">
        <f>IFERROR(__xludf.DUMMYFUNCTION("GOOGLETRANSLATE(A1842, ""zh-CN"", ""en"")"),"Jiangsu Province")</f>
        <v>Jiangsu Province</v>
      </c>
      <c r="C1916" s="1" t="s">
        <v>1700</v>
      </c>
      <c r="D1916" s="1" t="str">
        <f>IFERROR(__xludf.DUMMYFUNCTION("GOOGLETRANSLATE(C1916, ""zh-CN"", ""en"")"),"Lianyungang City")</f>
        <v>Lianyungang City</v>
      </c>
      <c r="E1916" s="1" t="s">
        <v>1766</v>
      </c>
      <c r="F1916" s="1" t="str">
        <f>IFERROR(__xludf.DUMMYFUNCTION("GOOGLETRANSLATE(E1916, ""zh-CN"", ""en"")"),"Lianyungang High -tech Industrial Development Zone")</f>
        <v>Lianyungang High -tech Industrial Development Zone</v>
      </c>
      <c r="G1916" s="1">
        <v>3.20772E11</v>
      </c>
    </row>
    <row r="1917">
      <c r="A1917" s="1" t="s">
        <v>1693</v>
      </c>
      <c r="B1917" s="1" t="str">
        <f>IFERROR(__xludf.DUMMYFUNCTION("GOOGLETRANSLATE(A1843, ""zh-CN"", ""en"")"),"Jiangsu Province")</f>
        <v>Jiangsu Province</v>
      </c>
      <c r="C1917" s="1" t="s">
        <v>1701</v>
      </c>
      <c r="D1917" s="1" t="str">
        <f>IFERROR(__xludf.DUMMYFUNCTION("GOOGLETRANSLATE(C1917, ""zh-CN"", ""en"")"),"Huaian city")</f>
        <v>Huaian city</v>
      </c>
      <c r="E1917" s="1" t="s">
        <v>24</v>
      </c>
      <c r="F1917" s="1" t="str">
        <f>IFERROR(__xludf.DUMMYFUNCTION("GOOGLETRANSLATE(E1917, ""zh-CN"", ""en"")"),"City area")</f>
        <v>City area</v>
      </c>
      <c r="G1917" s="1">
        <v>3.20801E11</v>
      </c>
    </row>
    <row r="1918">
      <c r="A1918" s="1" t="s">
        <v>1693</v>
      </c>
      <c r="B1918" s="1" t="str">
        <f>IFERROR(__xludf.DUMMYFUNCTION("GOOGLETRANSLATE(A1844, ""zh-CN"", ""en"")"),"Jiangsu Province")</f>
        <v>Jiangsu Province</v>
      </c>
      <c r="C1918" s="1" t="s">
        <v>1701</v>
      </c>
      <c r="D1918" s="1" t="str">
        <f>IFERROR(__xludf.DUMMYFUNCTION("GOOGLETRANSLATE(C1918, ""zh-CN"", ""en"")"),"Huaian city")</f>
        <v>Huaian city</v>
      </c>
      <c r="E1918" s="1" t="s">
        <v>1767</v>
      </c>
      <c r="F1918" s="1" t="str">
        <f>IFERROR(__xludf.DUMMYFUNCTION("GOOGLETRANSLATE(E1918, ""zh-CN"", ""en"")"),"Huai'an District")</f>
        <v>Huai'an District</v>
      </c>
      <c r="G1918" s="1">
        <v>3.20803E11</v>
      </c>
    </row>
    <row r="1919">
      <c r="A1919" s="1" t="s">
        <v>1693</v>
      </c>
      <c r="B1919" s="1" t="str">
        <f>IFERROR(__xludf.DUMMYFUNCTION("GOOGLETRANSLATE(A1845, ""zh-CN"", ""en"")"),"Jiangsu Province")</f>
        <v>Jiangsu Province</v>
      </c>
      <c r="C1919" s="1" t="s">
        <v>1701</v>
      </c>
      <c r="D1919" s="1" t="str">
        <f>IFERROR(__xludf.DUMMYFUNCTION("GOOGLETRANSLATE(C1919, ""zh-CN"", ""en"")"),"Huaian city")</f>
        <v>Huaian city</v>
      </c>
      <c r="E1919" s="1" t="s">
        <v>1768</v>
      </c>
      <c r="F1919" s="1" t="str">
        <f>IFERROR(__xludf.DUMMYFUNCTION("GOOGLETRANSLATE(E1919, ""zh-CN"", ""en"")"),"Huaiyin District")</f>
        <v>Huaiyin District</v>
      </c>
      <c r="G1919" s="1">
        <v>3.20804E11</v>
      </c>
    </row>
    <row r="1920">
      <c r="A1920" s="1" t="s">
        <v>1693</v>
      </c>
      <c r="B1920" s="1" t="str">
        <f>IFERROR(__xludf.DUMMYFUNCTION("GOOGLETRANSLATE(A1846, ""zh-CN"", ""en"")"),"Jiangsu Province")</f>
        <v>Jiangsu Province</v>
      </c>
      <c r="C1920" s="1" t="s">
        <v>1701</v>
      </c>
      <c r="D1920" s="1" t="str">
        <f>IFERROR(__xludf.DUMMYFUNCTION("GOOGLETRANSLATE(C1920, ""zh-CN"", ""en"")"),"Huaian city")</f>
        <v>Huaian city</v>
      </c>
      <c r="E1920" s="1" t="s">
        <v>1769</v>
      </c>
      <c r="F1920" s="1" t="str">
        <f>IFERROR(__xludf.DUMMYFUNCTION("GOOGLETRANSLATE(E1920, ""zh-CN"", ""en"")"),"Qingjiangpu District")</f>
        <v>Qingjiangpu District</v>
      </c>
      <c r="G1920" s="1">
        <v>3.20812E11</v>
      </c>
    </row>
    <row r="1921">
      <c r="A1921" s="1" t="s">
        <v>1693</v>
      </c>
      <c r="B1921" s="1" t="str">
        <f>IFERROR(__xludf.DUMMYFUNCTION("GOOGLETRANSLATE(A1847, ""zh-CN"", ""en"")"),"Jiangsu Province")</f>
        <v>Jiangsu Province</v>
      </c>
      <c r="C1921" s="1" t="s">
        <v>1701</v>
      </c>
      <c r="D1921" s="1" t="str">
        <f>IFERROR(__xludf.DUMMYFUNCTION("GOOGLETRANSLATE(C1921, ""zh-CN"", ""en"")"),"Huaian city")</f>
        <v>Huaian city</v>
      </c>
      <c r="E1921" s="1" t="s">
        <v>1770</v>
      </c>
      <c r="F1921" s="1" t="str">
        <f>IFERROR(__xludf.DUMMYFUNCTION("GOOGLETRANSLATE(E1921, ""zh-CN"", ""en"")"),"Hongze District")</f>
        <v>Hongze District</v>
      </c>
      <c r="G1921" s="1">
        <v>3.20813E11</v>
      </c>
    </row>
    <row r="1922">
      <c r="A1922" s="1" t="s">
        <v>1693</v>
      </c>
      <c r="B1922" s="1" t="str">
        <f>IFERROR(__xludf.DUMMYFUNCTION("GOOGLETRANSLATE(A1848, ""zh-CN"", ""en"")"),"Jiangsu Province")</f>
        <v>Jiangsu Province</v>
      </c>
      <c r="C1922" s="1" t="s">
        <v>1701</v>
      </c>
      <c r="D1922" s="1" t="str">
        <f>IFERROR(__xludf.DUMMYFUNCTION("GOOGLETRANSLATE(C1922, ""zh-CN"", ""en"")"),"Huaian city")</f>
        <v>Huaian city</v>
      </c>
      <c r="E1922" s="1" t="s">
        <v>1771</v>
      </c>
      <c r="F1922" s="1" t="str">
        <f>IFERROR(__xludf.DUMMYFUNCTION("GOOGLETRANSLATE(E1922, ""zh-CN"", ""en"")"),"Lianshui County")</f>
        <v>Lianshui County</v>
      </c>
      <c r="G1922" s="1">
        <v>3.20826E11</v>
      </c>
    </row>
    <row r="1923">
      <c r="A1923" s="1" t="s">
        <v>1693</v>
      </c>
      <c r="B1923" s="1" t="str">
        <f>IFERROR(__xludf.DUMMYFUNCTION("GOOGLETRANSLATE(A1849, ""zh-CN"", ""en"")"),"Jiangsu Province")</f>
        <v>Jiangsu Province</v>
      </c>
      <c r="C1923" s="1" t="s">
        <v>1701</v>
      </c>
      <c r="D1923" s="1" t="str">
        <f>IFERROR(__xludf.DUMMYFUNCTION("GOOGLETRANSLATE(C1923, ""zh-CN"", ""en"")"),"Huaian city")</f>
        <v>Huaian city</v>
      </c>
      <c r="E1923" s="1" t="s">
        <v>1772</v>
      </c>
      <c r="F1923" s="1" t="str">
        <f>IFERROR(__xludf.DUMMYFUNCTION("GOOGLETRANSLATE(E1923, ""zh-CN"", ""en"")"),"Qixian County")</f>
        <v>Qixian County</v>
      </c>
      <c r="G1923" s="1">
        <v>3.2083E11</v>
      </c>
    </row>
    <row r="1924">
      <c r="A1924" s="1" t="s">
        <v>1693</v>
      </c>
      <c r="B1924" s="1" t="str">
        <f>IFERROR(__xludf.DUMMYFUNCTION("GOOGLETRANSLATE(A1850, ""zh-CN"", ""en"")"),"Jiangsu Province")</f>
        <v>Jiangsu Province</v>
      </c>
      <c r="C1924" s="1" t="s">
        <v>1701</v>
      </c>
      <c r="D1924" s="1" t="str">
        <f>IFERROR(__xludf.DUMMYFUNCTION("GOOGLETRANSLATE(C1924, ""zh-CN"", ""en"")"),"Huaian city")</f>
        <v>Huaian city</v>
      </c>
      <c r="E1924" s="1" t="s">
        <v>1773</v>
      </c>
      <c r="F1924" s="1" t="str">
        <f>IFERROR(__xludf.DUMMYFUNCTION("GOOGLETRANSLATE(E1924, ""zh-CN"", ""en"")"),"Jinhu County")</f>
        <v>Jinhu County</v>
      </c>
      <c r="G1924" s="1">
        <v>3.20831E11</v>
      </c>
    </row>
    <row r="1925">
      <c r="A1925" s="1" t="s">
        <v>1693</v>
      </c>
      <c r="B1925" s="1" t="str">
        <f>IFERROR(__xludf.DUMMYFUNCTION("GOOGLETRANSLATE(A1851, ""zh-CN"", ""en"")"),"Jiangsu Province")</f>
        <v>Jiangsu Province</v>
      </c>
      <c r="C1925" s="1" t="s">
        <v>1701</v>
      </c>
      <c r="D1925" s="1" t="str">
        <f>IFERROR(__xludf.DUMMYFUNCTION("GOOGLETRANSLATE(C1925, ""zh-CN"", ""en"")"),"Huaian city")</f>
        <v>Huaian city</v>
      </c>
      <c r="E1925" s="1" t="s">
        <v>1774</v>
      </c>
      <c r="F1925" s="1" t="str">
        <f>IFERROR(__xludf.DUMMYFUNCTION("GOOGLETRANSLATE(E1925, ""zh-CN"", ""en"")"),"Huai'an Economic and Technological Development Zone")</f>
        <v>Huai'an Economic and Technological Development Zone</v>
      </c>
      <c r="G1925" s="1">
        <v>3.20871E11</v>
      </c>
    </row>
    <row r="1926">
      <c r="A1926" s="1" t="s">
        <v>1693</v>
      </c>
      <c r="B1926" s="1" t="str">
        <f>IFERROR(__xludf.DUMMYFUNCTION("GOOGLETRANSLATE(A1852, ""zh-CN"", ""en"")"),"Jiangsu Province")</f>
        <v>Jiangsu Province</v>
      </c>
      <c r="C1926" s="1" t="s">
        <v>1702</v>
      </c>
      <c r="D1926" s="1" t="str">
        <f>IFERROR(__xludf.DUMMYFUNCTION("GOOGLETRANSLATE(C1926, ""zh-CN"", ""en"")"),"Salt city")</f>
        <v>Salt city</v>
      </c>
      <c r="E1926" s="1" t="s">
        <v>24</v>
      </c>
      <c r="F1926" s="1" t="str">
        <f>IFERROR(__xludf.DUMMYFUNCTION("GOOGLETRANSLATE(E1926, ""zh-CN"", ""en"")"),"City area")</f>
        <v>City area</v>
      </c>
      <c r="G1926" s="1">
        <v>3.20901E11</v>
      </c>
    </row>
    <row r="1927">
      <c r="A1927" s="1" t="s">
        <v>1693</v>
      </c>
      <c r="B1927" s="1" t="str">
        <f>IFERROR(__xludf.DUMMYFUNCTION("GOOGLETRANSLATE(A1853, ""zh-CN"", ""en"")"),"Jiangsu Province")</f>
        <v>Jiangsu Province</v>
      </c>
      <c r="C1927" s="1" t="s">
        <v>1702</v>
      </c>
      <c r="D1927" s="1" t="str">
        <f>IFERROR(__xludf.DUMMYFUNCTION("GOOGLETRANSLATE(C1927, ""zh-CN"", ""en"")"),"Salt city")</f>
        <v>Salt city</v>
      </c>
      <c r="E1927" s="1" t="s">
        <v>1775</v>
      </c>
      <c r="F1927" s="1" t="str">
        <f>IFERROR(__xludf.DUMMYFUNCTION("GOOGLETRANSLATE(E1927, ""zh-CN"", ""en"")"),"Tinghu District")</f>
        <v>Tinghu District</v>
      </c>
      <c r="G1927" s="1">
        <v>3.20902E11</v>
      </c>
    </row>
    <row r="1928">
      <c r="A1928" s="1" t="s">
        <v>1693</v>
      </c>
      <c r="B1928" s="1" t="str">
        <f>IFERROR(__xludf.DUMMYFUNCTION("GOOGLETRANSLATE(A1854, ""zh-CN"", ""en"")"),"Jiangsu Province")</f>
        <v>Jiangsu Province</v>
      </c>
      <c r="C1928" s="1" t="s">
        <v>1702</v>
      </c>
      <c r="D1928" s="1" t="str">
        <f>IFERROR(__xludf.DUMMYFUNCTION("GOOGLETRANSLATE(C1928, ""zh-CN"", ""en"")"),"Salt city")</f>
        <v>Salt city</v>
      </c>
      <c r="E1928" s="1" t="s">
        <v>1776</v>
      </c>
      <c r="F1928" s="1" t="str">
        <f>IFERROR(__xludf.DUMMYFUNCTION("GOOGLETRANSLATE(E1928, ""zh-CN"", ""en"")"),"Yantu District")</f>
        <v>Yantu District</v>
      </c>
      <c r="G1928" s="1">
        <v>3.20903E11</v>
      </c>
    </row>
    <row r="1929">
      <c r="A1929" s="1" t="s">
        <v>1693</v>
      </c>
      <c r="B1929" s="1" t="str">
        <f>IFERROR(__xludf.DUMMYFUNCTION("GOOGLETRANSLATE(A1855, ""zh-CN"", ""en"")"),"Jiangsu Province")</f>
        <v>Jiangsu Province</v>
      </c>
      <c r="C1929" s="1" t="s">
        <v>1702</v>
      </c>
      <c r="D1929" s="1" t="str">
        <f>IFERROR(__xludf.DUMMYFUNCTION("GOOGLETRANSLATE(C1929, ""zh-CN"", ""en"")"),"Salt city")</f>
        <v>Salt city</v>
      </c>
      <c r="E1929" s="1" t="s">
        <v>1777</v>
      </c>
      <c r="F1929" s="1" t="str">
        <f>IFERROR(__xludf.DUMMYFUNCTION("GOOGLETRANSLATE(E1929, ""zh-CN"", ""en"")"),"Dafeng District")</f>
        <v>Dafeng District</v>
      </c>
      <c r="G1929" s="1">
        <v>3.20904E11</v>
      </c>
    </row>
    <row r="1930">
      <c r="A1930" s="1" t="s">
        <v>1693</v>
      </c>
      <c r="B1930" s="1" t="str">
        <f>IFERROR(__xludf.DUMMYFUNCTION("GOOGLETRANSLATE(A1856, ""zh-CN"", ""en"")"),"Jiangsu Province")</f>
        <v>Jiangsu Province</v>
      </c>
      <c r="C1930" s="1" t="s">
        <v>1702</v>
      </c>
      <c r="D1930" s="1" t="str">
        <f>IFERROR(__xludf.DUMMYFUNCTION("GOOGLETRANSLATE(C1930, ""zh-CN"", ""en"")"),"Salt city")</f>
        <v>Salt city</v>
      </c>
      <c r="E1930" s="1" t="s">
        <v>1778</v>
      </c>
      <c r="F1930" s="1" t="str">
        <f>IFERROR(__xludf.DUMMYFUNCTION("GOOGLETRANSLATE(E1930, ""zh-CN"", ""en"")"),"Xiangshui County")</f>
        <v>Xiangshui County</v>
      </c>
      <c r="G1930" s="1">
        <v>3.20921E11</v>
      </c>
    </row>
    <row r="1931">
      <c r="A1931" s="1" t="s">
        <v>1693</v>
      </c>
      <c r="B1931" s="1" t="str">
        <f>IFERROR(__xludf.DUMMYFUNCTION("GOOGLETRANSLATE(A1857, ""zh-CN"", ""en"")"),"Jiangsu Province")</f>
        <v>Jiangsu Province</v>
      </c>
      <c r="C1931" s="1" t="s">
        <v>1702</v>
      </c>
      <c r="D1931" s="1" t="str">
        <f>IFERROR(__xludf.DUMMYFUNCTION("GOOGLETRANSLATE(C1931, ""zh-CN"", ""en"")"),"Salt city")</f>
        <v>Salt city</v>
      </c>
      <c r="E1931" s="1" t="s">
        <v>1779</v>
      </c>
      <c r="F1931" s="1" t="str">
        <f>IFERROR(__xludf.DUMMYFUNCTION("GOOGLETRANSLATE(E1931, ""zh-CN"", ""en"")"),"Binhai County")</f>
        <v>Binhai County</v>
      </c>
      <c r="G1931" s="1">
        <v>3.20922E11</v>
      </c>
    </row>
    <row r="1932">
      <c r="A1932" s="1" t="s">
        <v>1693</v>
      </c>
      <c r="B1932" s="1" t="str">
        <f>IFERROR(__xludf.DUMMYFUNCTION("GOOGLETRANSLATE(A1858, ""zh-CN"", ""en"")"),"Jiangsu Province")</f>
        <v>Jiangsu Province</v>
      </c>
      <c r="C1932" s="1" t="s">
        <v>1702</v>
      </c>
      <c r="D1932" s="1" t="str">
        <f>IFERROR(__xludf.DUMMYFUNCTION("GOOGLETRANSLATE(C1932, ""zh-CN"", ""en"")"),"Salt city")</f>
        <v>Salt city</v>
      </c>
      <c r="E1932" s="1" t="s">
        <v>1780</v>
      </c>
      <c r="F1932" s="1" t="str">
        <f>IFERROR(__xludf.DUMMYFUNCTION("GOOGLETRANSLATE(E1932, ""zh-CN"", ""en"")"),"Funing County")</f>
        <v>Funing County</v>
      </c>
      <c r="G1932" s="1">
        <v>3.20923E11</v>
      </c>
    </row>
    <row r="1933">
      <c r="A1933" s="1" t="s">
        <v>1693</v>
      </c>
      <c r="B1933" s="1" t="str">
        <f>IFERROR(__xludf.DUMMYFUNCTION("GOOGLETRANSLATE(A1859, ""zh-CN"", ""en"")"),"Jiangsu Province")</f>
        <v>Jiangsu Province</v>
      </c>
      <c r="C1933" s="1" t="s">
        <v>1702</v>
      </c>
      <c r="D1933" s="1" t="str">
        <f>IFERROR(__xludf.DUMMYFUNCTION("GOOGLETRANSLATE(C1933, ""zh-CN"", ""en"")"),"Salt city")</f>
        <v>Salt city</v>
      </c>
      <c r="E1933" s="1" t="s">
        <v>1781</v>
      </c>
      <c r="F1933" s="1" t="str">
        <f>IFERROR(__xludf.DUMMYFUNCTION("GOOGLETRANSLATE(E1933, ""zh-CN"", ""en"")"),"Sheyang County")</f>
        <v>Sheyang County</v>
      </c>
      <c r="G1933" s="1">
        <v>3.20924E11</v>
      </c>
    </row>
    <row r="1934">
      <c r="A1934" s="1" t="s">
        <v>1693</v>
      </c>
      <c r="B1934" s="1" t="str">
        <f>IFERROR(__xludf.DUMMYFUNCTION("GOOGLETRANSLATE(A1860, ""zh-CN"", ""en"")"),"Jiangsu Province")</f>
        <v>Jiangsu Province</v>
      </c>
      <c r="C1934" s="1" t="s">
        <v>1702</v>
      </c>
      <c r="D1934" s="1" t="str">
        <f>IFERROR(__xludf.DUMMYFUNCTION("GOOGLETRANSLATE(C1934, ""zh-CN"", ""en"")"),"Salt city")</f>
        <v>Salt city</v>
      </c>
      <c r="E1934" s="1" t="s">
        <v>1782</v>
      </c>
      <c r="F1934" s="1" t="str">
        <f>IFERROR(__xludf.DUMMYFUNCTION("GOOGLETRANSLATE(E1934, ""zh-CN"", ""en"")"),"Jianhu County")</f>
        <v>Jianhu County</v>
      </c>
      <c r="G1934" s="1">
        <v>3.20925E11</v>
      </c>
    </row>
    <row r="1935">
      <c r="A1935" s="1" t="s">
        <v>1693</v>
      </c>
      <c r="B1935" s="1" t="str">
        <f>IFERROR(__xludf.DUMMYFUNCTION("GOOGLETRANSLATE(A1861, ""zh-CN"", ""en"")"),"Jiangsu Province")</f>
        <v>Jiangsu Province</v>
      </c>
      <c r="C1935" s="1" t="s">
        <v>1702</v>
      </c>
      <c r="D1935" s="1" t="str">
        <f>IFERROR(__xludf.DUMMYFUNCTION("GOOGLETRANSLATE(C1935, ""zh-CN"", ""en"")"),"Salt city")</f>
        <v>Salt city</v>
      </c>
      <c r="E1935" s="1" t="s">
        <v>1783</v>
      </c>
      <c r="F1935" s="1" t="str">
        <f>IFERROR(__xludf.DUMMYFUNCTION("GOOGLETRANSLATE(E1935, ""zh-CN"", ""en"")"),"Yancheng Economic and Technological Development Zone")</f>
        <v>Yancheng Economic and Technological Development Zone</v>
      </c>
      <c r="G1935" s="1">
        <v>3.20971E11</v>
      </c>
    </row>
    <row r="1936">
      <c r="A1936" s="1" t="s">
        <v>1693</v>
      </c>
      <c r="B1936" s="1" t="str">
        <f>IFERROR(__xludf.DUMMYFUNCTION("GOOGLETRANSLATE(A1862, ""zh-CN"", ""en"")"),"Jiangsu Province")</f>
        <v>Jiangsu Province</v>
      </c>
      <c r="C1936" s="1" t="s">
        <v>1702</v>
      </c>
      <c r="D1936" s="1" t="str">
        <f>IFERROR(__xludf.DUMMYFUNCTION("GOOGLETRANSLATE(C1936, ""zh-CN"", ""en"")"),"Salt city")</f>
        <v>Salt city</v>
      </c>
      <c r="E1936" s="1" t="s">
        <v>1784</v>
      </c>
      <c r="F1936" s="1" t="str">
        <f>IFERROR(__xludf.DUMMYFUNCTION("GOOGLETRANSLATE(E1936, ""zh-CN"", ""en"")"),"Dongtai City")</f>
        <v>Dongtai City</v>
      </c>
      <c r="G1936" s="1">
        <v>3.20981E11</v>
      </c>
    </row>
    <row r="1937">
      <c r="A1937" s="1" t="s">
        <v>1693</v>
      </c>
      <c r="B1937" s="1" t="str">
        <f>IFERROR(__xludf.DUMMYFUNCTION("GOOGLETRANSLATE(A1863, ""zh-CN"", ""en"")"),"Jiangsu Province")</f>
        <v>Jiangsu Province</v>
      </c>
      <c r="C1937" s="1" t="s">
        <v>1703</v>
      </c>
      <c r="D1937" s="1" t="str">
        <f>IFERROR(__xludf.DUMMYFUNCTION("GOOGLETRANSLATE(C1937, ""zh-CN"", ""en"")"),"Yangzhou")</f>
        <v>Yangzhou</v>
      </c>
      <c r="E1937" s="1" t="s">
        <v>24</v>
      </c>
      <c r="F1937" s="1" t="str">
        <f>IFERROR(__xludf.DUMMYFUNCTION("GOOGLETRANSLATE(E1937, ""zh-CN"", ""en"")"),"City area")</f>
        <v>City area</v>
      </c>
      <c r="G1937" s="1">
        <v>3.21001E11</v>
      </c>
    </row>
    <row r="1938">
      <c r="A1938" s="1" t="s">
        <v>1693</v>
      </c>
      <c r="B1938" s="1" t="str">
        <f>IFERROR(__xludf.DUMMYFUNCTION("GOOGLETRANSLATE(A1864, ""zh-CN"", ""en"")"),"Jiangsu Province")</f>
        <v>Jiangsu Province</v>
      </c>
      <c r="C1938" s="1" t="s">
        <v>1703</v>
      </c>
      <c r="D1938" s="1" t="str">
        <f>IFERROR(__xludf.DUMMYFUNCTION("GOOGLETRANSLATE(C1938, ""zh-CN"", ""en"")"),"Yangzhou")</f>
        <v>Yangzhou</v>
      </c>
      <c r="E1938" s="1" t="s">
        <v>1785</v>
      </c>
      <c r="F1938" s="1" t="str">
        <f>IFERROR(__xludf.DUMMYFUNCTION("GOOGLETRANSLATE(E1938, ""zh-CN"", ""en"")"),"Guangling District")</f>
        <v>Guangling District</v>
      </c>
      <c r="G1938" s="1">
        <v>3.21002E11</v>
      </c>
    </row>
    <row r="1939">
      <c r="A1939" s="1" t="s">
        <v>1693</v>
      </c>
      <c r="B1939" s="1" t="str">
        <f>IFERROR(__xludf.DUMMYFUNCTION("GOOGLETRANSLATE(A1865, ""zh-CN"", ""en"")"),"Jiangsu Province")</f>
        <v>Jiangsu Province</v>
      </c>
      <c r="C1939" s="1" t="s">
        <v>1703</v>
      </c>
      <c r="D1939" s="1" t="str">
        <f>IFERROR(__xludf.DUMMYFUNCTION("GOOGLETRANSLATE(C1939, ""zh-CN"", ""en"")"),"Yangzhou")</f>
        <v>Yangzhou</v>
      </c>
      <c r="E1939" s="1" t="s">
        <v>1786</v>
      </c>
      <c r="F1939" s="1" t="str">
        <f>IFERROR(__xludf.DUMMYFUNCTION("GOOGLETRANSLATE(E1939, ""zh-CN"", ""en"")"),"Yijiang District")</f>
        <v>Yijiang District</v>
      </c>
      <c r="G1939" s="1">
        <v>3.21003E11</v>
      </c>
    </row>
    <row r="1940">
      <c r="A1940" s="1" t="s">
        <v>1693</v>
      </c>
      <c r="B1940" s="1" t="str">
        <f>IFERROR(__xludf.DUMMYFUNCTION("GOOGLETRANSLATE(A1866, ""zh-CN"", ""en"")"),"Jiangsu Province")</f>
        <v>Jiangsu Province</v>
      </c>
      <c r="C1940" s="1" t="s">
        <v>1703</v>
      </c>
      <c r="D1940" s="1" t="str">
        <f>IFERROR(__xludf.DUMMYFUNCTION("GOOGLETRANSLATE(C1940, ""zh-CN"", ""en"")"),"Yangzhou")</f>
        <v>Yangzhou</v>
      </c>
      <c r="E1940" s="1" t="s">
        <v>1787</v>
      </c>
      <c r="F1940" s="1" t="str">
        <f>IFERROR(__xludf.DUMMYFUNCTION("GOOGLETRANSLATE(E1940, ""zh-CN"", ""en"")"),"Jiangdu District")</f>
        <v>Jiangdu District</v>
      </c>
      <c r="G1940" s="1">
        <v>3.21012E11</v>
      </c>
    </row>
    <row r="1941">
      <c r="A1941" s="1" t="s">
        <v>1693</v>
      </c>
      <c r="B1941" s="1" t="str">
        <f>IFERROR(__xludf.DUMMYFUNCTION("GOOGLETRANSLATE(A1867, ""zh-CN"", ""en"")"),"Jiangsu Province")</f>
        <v>Jiangsu Province</v>
      </c>
      <c r="C1941" s="1" t="s">
        <v>1703</v>
      </c>
      <c r="D1941" s="1" t="str">
        <f>IFERROR(__xludf.DUMMYFUNCTION("GOOGLETRANSLATE(C1941, ""zh-CN"", ""en"")"),"Yangzhou")</f>
        <v>Yangzhou</v>
      </c>
      <c r="E1941" s="1" t="s">
        <v>1788</v>
      </c>
      <c r="F1941" s="1" t="str">
        <f>IFERROR(__xludf.DUMMYFUNCTION("GOOGLETRANSLATE(E1941, ""zh-CN"", ""en"")"),"Baoying County")</f>
        <v>Baoying County</v>
      </c>
      <c r="G1941" s="1">
        <v>3.21023E11</v>
      </c>
    </row>
    <row r="1942">
      <c r="A1942" s="1" t="s">
        <v>1693</v>
      </c>
      <c r="B1942" s="1" t="str">
        <f>IFERROR(__xludf.DUMMYFUNCTION("GOOGLETRANSLATE(A1868, ""zh-CN"", ""en"")"),"Jiangsu Province")</f>
        <v>Jiangsu Province</v>
      </c>
      <c r="C1942" s="1" t="s">
        <v>1703</v>
      </c>
      <c r="D1942" s="1" t="str">
        <f>IFERROR(__xludf.DUMMYFUNCTION("GOOGLETRANSLATE(C1942, ""zh-CN"", ""en"")"),"Yangzhou")</f>
        <v>Yangzhou</v>
      </c>
      <c r="E1942" s="1" t="s">
        <v>1789</v>
      </c>
      <c r="F1942" s="1" t="str">
        <f>IFERROR(__xludf.DUMMYFUNCTION("GOOGLETRANSLATE(E1942, ""zh-CN"", ""en"")"),"Yangzhou Economic and Technological Development Zone")</f>
        <v>Yangzhou Economic and Technological Development Zone</v>
      </c>
      <c r="G1942" s="1">
        <v>3.21071E11</v>
      </c>
    </row>
    <row r="1943">
      <c r="A1943" s="1" t="s">
        <v>1693</v>
      </c>
      <c r="B1943" s="1" t="str">
        <f>IFERROR(__xludf.DUMMYFUNCTION("GOOGLETRANSLATE(A1869, ""zh-CN"", ""en"")"),"Jiangsu Province")</f>
        <v>Jiangsu Province</v>
      </c>
      <c r="C1943" s="1" t="s">
        <v>1703</v>
      </c>
      <c r="D1943" s="1" t="str">
        <f>IFERROR(__xludf.DUMMYFUNCTION("GOOGLETRANSLATE(C1943, ""zh-CN"", ""en"")"),"Yangzhou")</f>
        <v>Yangzhou</v>
      </c>
      <c r="E1943" s="1" t="s">
        <v>1790</v>
      </c>
      <c r="F1943" s="1" t="str">
        <f>IFERROR(__xludf.DUMMYFUNCTION("GOOGLETRANSLATE(E1943, ""zh-CN"", ""en"")"),"Yizheng City")</f>
        <v>Yizheng City</v>
      </c>
      <c r="G1943" s="1">
        <v>3.21081E11</v>
      </c>
    </row>
    <row r="1944">
      <c r="A1944" s="1" t="s">
        <v>1693</v>
      </c>
      <c r="B1944" s="1" t="str">
        <f>IFERROR(__xludf.DUMMYFUNCTION("GOOGLETRANSLATE(A1870, ""zh-CN"", ""en"")"),"Jiangsu Province")</f>
        <v>Jiangsu Province</v>
      </c>
      <c r="C1944" s="1" t="s">
        <v>1703</v>
      </c>
      <c r="D1944" s="1" t="str">
        <f>IFERROR(__xludf.DUMMYFUNCTION("GOOGLETRANSLATE(C1944, ""zh-CN"", ""en"")"),"Yangzhou")</f>
        <v>Yangzhou</v>
      </c>
      <c r="E1944" s="1" t="s">
        <v>1791</v>
      </c>
      <c r="F1944" s="1" t="str">
        <f>IFERROR(__xludf.DUMMYFUNCTION("GOOGLETRANSLATE(E1944, ""zh-CN"", ""en"")"),"High postal market")</f>
        <v>High postal market</v>
      </c>
      <c r="G1944" s="1">
        <v>3.21084E11</v>
      </c>
    </row>
    <row r="1945">
      <c r="A1945" s="1" t="s">
        <v>1693</v>
      </c>
      <c r="B1945" s="1" t="str">
        <f>IFERROR(__xludf.DUMMYFUNCTION("GOOGLETRANSLATE(A1871, ""zh-CN"", ""en"")"),"Jiangsu Province")</f>
        <v>Jiangsu Province</v>
      </c>
      <c r="C1945" s="1" t="s">
        <v>1704</v>
      </c>
      <c r="D1945" s="1" t="str">
        <f>IFERROR(__xludf.DUMMYFUNCTION("GOOGLETRANSLATE(C1945, ""zh-CN"", ""en"")"),"Zhenjiang")</f>
        <v>Zhenjiang</v>
      </c>
      <c r="E1945" s="1" t="s">
        <v>24</v>
      </c>
      <c r="F1945" s="1" t="str">
        <f>IFERROR(__xludf.DUMMYFUNCTION("GOOGLETRANSLATE(E1945, ""zh-CN"", ""en"")"),"City area")</f>
        <v>City area</v>
      </c>
      <c r="G1945" s="1">
        <v>3.21101E11</v>
      </c>
    </row>
    <row r="1946">
      <c r="A1946" s="1" t="s">
        <v>1693</v>
      </c>
      <c r="B1946" s="1" t="str">
        <f>IFERROR(__xludf.DUMMYFUNCTION("GOOGLETRANSLATE(A1872, ""zh-CN"", ""en"")"),"Jiangsu Province")</f>
        <v>Jiangsu Province</v>
      </c>
      <c r="C1946" s="1" t="s">
        <v>1704</v>
      </c>
      <c r="D1946" s="1" t="str">
        <f>IFERROR(__xludf.DUMMYFUNCTION("GOOGLETRANSLATE(C1946, ""zh-CN"", ""en"")"),"Zhenjiang")</f>
        <v>Zhenjiang</v>
      </c>
      <c r="E1946" s="1" t="s">
        <v>1792</v>
      </c>
      <c r="F1946" s="1" t="str">
        <f>IFERROR(__xludf.DUMMYFUNCTION("GOOGLETRANSLATE(E1946, ""zh-CN"", ""en"")"),"Kyokou District")</f>
        <v>Kyokou District</v>
      </c>
      <c r="G1946" s="1">
        <v>3.21102E11</v>
      </c>
    </row>
    <row r="1947">
      <c r="A1947" s="1" t="s">
        <v>1693</v>
      </c>
      <c r="B1947" s="1" t="str">
        <f>IFERROR(__xludf.DUMMYFUNCTION("GOOGLETRANSLATE(A1873, ""zh-CN"", ""en"")"),"Jiangsu Province")</f>
        <v>Jiangsu Province</v>
      </c>
      <c r="C1947" s="1" t="s">
        <v>1704</v>
      </c>
      <c r="D1947" s="1" t="str">
        <f>IFERROR(__xludf.DUMMYFUNCTION("GOOGLETRANSLATE(C1947, ""zh-CN"", ""en"")"),"Zhenjiang")</f>
        <v>Zhenjiang</v>
      </c>
      <c r="E1947" s="1" t="s">
        <v>1793</v>
      </c>
      <c r="F1947" s="1" t="str">
        <f>IFERROR(__xludf.DUMMYFUNCTION("GOOGLETRANSLATE(E1947, ""zh-CN"", ""en"")"),"Runzhou District")</f>
        <v>Runzhou District</v>
      </c>
      <c r="G1947" s="1">
        <v>3.21111E11</v>
      </c>
    </row>
    <row r="1948">
      <c r="A1948" s="1" t="s">
        <v>1693</v>
      </c>
      <c r="B1948" s="1" t="str">
        <f>IFERROR(__xludf.DUMMYFUNCTION("GOOGLETRANSLATE(A1874, ""zh-CN"", ""en"")"),"Jiangsu Province")</f>
        <v>Jiangsu Province</v>
      </c>
      <c r="C1948" s="1" t="s">
        <v>1704</v>
      </c>
      <c r="D1948" s="1" t="str">
        <f>IFERROR(__xludf.DUMMYFUNCTION("GOOGLETRANSLATE(C1948, ""zh-CN"", ""en"")"),"Zhenjiang")</f>
        <v>Zhenjiang</v>
      </c>
      <c r="E1948" s="1" t="s">
        <v>1794</v>
      </c>
      <c r="F1948" s="1" t="str">
        <f>IFERROR(__xludf.DUMMYFUNCTION("GOOGLETRANSLATE(E1948, ""zh-CN"", ""en"")"),"Danfu District")</f>
        <v>Danfu District</v>
      </c>
      <c r="G1948" s="1">
        <v>3.21112E11</v>
      </c>
    </row>
    <row r="1949">
      <c r="A1949" s="1" t="s">
        <v>1693</v>
      </c>
      <c r="B1949" s="1" t="str">
        <f>IFERROR(__xludf.DUMMYFUNCTION("GOOGLETRANSLATE(A1875, ""zh-CN"", ""en"")"),"Jiangsu Province")</f>
        <v>Jiangsu Province</v>
      </c>
      <c r="C1949" s="1" t="s">
        <v>1704</v>
      </c>
      <c r="D1949" s="1" t="str">
        <f>IFERROR(__xludf.DUMMYFUNCTION("GOOGLETRANSLATE(C1949, ""zh-CN"", ""en"")"),"Zhenjiang")</f>
        <v>Zhenjiang</v>
      </c>
      <c r="E1949" s="1" t="s">
        <v>1795</v>
      </c>
      <c r="F1949" s="1" t="str">
        <f>IFERROR(__xludf.DUMMYFUNCTION("GOOGLETRANSLATE(E1949, ""zh-CN"", ""en"")"),"Zhenjiang New District")</f>
        <v>Zhenjiang New District</v>
      </c>
      <c r="G1949" s="1">
        <v>3.21171E11</v>
      </c>
    </row>
    <row r="1950">
      <c r="A1950" s="1" t="s">
        <v>1693</v>
      </c>
      <c r="B1950" s="1" t="str">
        <f>IFERROR(__xludf.DUMMYFUNCTION("GOOGLETRANSLATE(A1876, ""zh-CN"", ""en"")"),"Jiangsu Province")</f>
        <v>Jiangsu Province</v>
      </c>
      <c r="C1950" s="1" t="s">
        <v>1704</v>
      </c>
      <c r="D1950" s="1" t="str">
        <f>IFERROR(__xludf.DUMMYFUNCTION("GOOGLETRANSLATE(C1950, ""zh-CN"", ""en"")"),"Zhenjiang")</f>
        <v>Zhenjiang</v>
      </c>
      <c r="E1950" s="1" t="s">
        <v>1796</v>
      </c>
      <c r="F1950" s="1" t="str">
        <f>IFERROR(__xludf.DUMMYFUNCTION("GOOGLETRANSLATE(E1950, ""zh-CN"", ""en"")"),"Danyang City")</f>
        <v>Danyang City</v>
      </c>
      <c r="G1950" s="1">
        <v>3.21181E11</v>
      </c>
    </row>
    <row r="1951">
      <c r="A1951" s="1" t="s">
        <v>1693</v>
      </c>
      <c r="B1951" s="1" t="str">
        <f>IFERROR(__xludf.DUMMYFUNCTION("GOOGLETRANSLATE(A1877, ""zh-CN"", ""en"")"),"Jiangsu Province")</f>
        <v>Jiangsu Province</v>
      </c>
      <c r="C1951" s="1" t="s">
        <v>1704</v>
      </c>
      <c r="D1951" s="1" t="str">
        <f>IFERROR(__xludf.DUMMYFUNCTION("GOOGLETRANSLATE(C1951, ""zh-CN"", ""en"")"),"Zhenjiang")</f>
        <v>Zhenjiang</v>
      </c>
      <c r="E1951" s="1" t="s">
        <v>1797</v>
      </c>
      <c r="F1951" s="1" t="str">
        <f>IFERROR(__xludf.DUMMYFUNCTION("GOOGLETRANSLATE(E1951, ""zh-CN"", ""en"")"),"Yangzhong")</f>
        <v>Yangzhong</v>
      </c>
      <c r="G1951" s="1">
        <v>3.21182E11</v>
      </c>
    </row>
    <row r="1952">
      <c r="A1952" s="1" t="s">
        <v>1693</v>
      </c>
      <c r="B1952" s="1" t="str">
        <f>IFERROR(__xludf.DUMMYFUNCTION("GOOGLETRANSLATE(A1878, ""zh-CN"", ""en"")"),"Jiangsu Province")</f>
        <v>Jiangsu Province</v>
      </c>
      <c r="C1952" s="1" t="s">
        <v>1704</v>
      </c>
      <c r="D1952" s="1" t="str">
        <f>IFERROR(__xludf.DUMMYFUNCTION("GOOGLETRANSLATE(C1952, ""zh-CN"", ""en"")"),"Zhenjiang")</f>
        <v>Zhenjiang</v>
      </c>
      <c r="E1952" s="1" t="s">
        <v>1798</v>
      </c>
      <c r="F1952" s="1" t="str">
        <f>IFERROR(__xludf.DUMMYFUNCTION("GOOGLETRANSLATE(E1952, ""zh-CN"", ""en"")"),"Jurong City")</f>
        <v>Jurong City</v>
      </c>
      <c r="G1952" s="1">
        <v>3.21183E11</v>
      </c>
    </row>
    <row r="1953">
      <c r="A1953" s="1" t="s">
        <v>1693</v>
      </c>
      <c r="B1953" s="1" t="str">
        <f>IFERROR(__xludf.DUMMYFUNCTION("GOOGLETRANSLATE(A1879, ""zh-CN"", ""en"")"),"Jiangsu Province")</f>
        <v>Jiangsu Province</v>
      </c>
      <c r="C1953" s="1" t="s">
        <v>1705</v>
      </c>
      <c r="D1953" s="1" t="str">
        <f>IFERROR(__xludf.DUMMYFUNCTION("GOOGLETRANSLATE(C1953, ""zh-CN"", ""en"")"),"Taizhou")</f>
        <v>Taizhou</v>
      </c>
      <c r="E1953" s="1" t="s">
        <v>24</v>
      </c>
      <c r="F1953" s="1" t="str">
        <f>IFERROR(__xludf.DUMMYFUNCTION("GOOGLETRANSLATE(E1953, ""zh-CN"", ""en"")"),"City area")</f>
        <v>City area</v>
      </c>
      <c r="G1953" s="1">
        <v>3.21201E11</v>
      </c>
    </row>
    <row r="1954">
      <c r="A1954" s="1" t="s">
        <v>1693</v>
      </c>
      <c r="B1954" s="1" t="str">
        <f>IFERROR(__xludf.DUMMYFUNCTION("GOOGLETRANSLATE(A1880, ""zh-CN"", ""en"")"),"Jiangsu Province")</f>
        <v>Jiangsu Province</v>
      </c>
      <c r="C1954" s="1" t="s">
        <v>1705</v>
      </c>
      <c r="D1954" s="1" t="str">
        <f>IFERROR(__xludf.DUMMYFUNCTION("GOOGLETRANSLATE(C1954, ""zh-CN"", ""en"")"),"Taizhou")</f>
        <v>Taizhou</v>
      </c>
      <c r="E1954" s="1" t="s">
        <v>1799</v>
      </c>
      <c r="F1954" s="1" t="str">
        <f>IFERROR(__xludf.DUMMYFUNCTION("GOOGLETRANSLATE(E1954, ""zh-CN"", ""en"")"),"Hailing District")</f>
        <v>Hailing District</v>
      </c>
      <c r="G1954" s="1">
        <v>3.21202E11</v>
      </c>
    </row>
    <row r="1955">
      <c r="A1955" s="1" t="s">
        <v>1693</v>
      </c>
      <c r="B1955" s="1" t="str">
        <f>IFERROR(__xludf.DUMMYFUNCTION("GOOGLETRANSLATE(A1881, ""zh-CN"", ""en"")"),"Jiangsu Province")</f>
        <v>Jiangsu Province</v>
      </c>
      <c r="C1955" s="1" t="s">
        <v>1705</v>
      </c>
      <c r="D1955" s="1" t="str">
        <f>IFERROR(__xludf.DUMMYFUNCTION("GOOGLETRANSLATE(C1955, ""zh-CN"", ""en"")"),"Taizhou")</f>
        <v>Taizhou</v>
      </c>
      <c r="E1955" s="1" t="s">
        <v>1800</v>
      </c>
      <c r="F1955" s="1" t="str">
        <f>IFERROR(__xludf.DUMMYFUNCTION("GOOGLETRANSLATE(E1955, ""zh-CN"", ""en"")"),"Gaogang District")</f>
        <v>Gaogang District</v>
      </c>
      <c r="G1955" s="1">
        <v>3.21203E11</v>
      </c>
    </row>
    <row r="1956">
      <c r="A1956" s="1" t="s">
        <v>1693</v>
      </c>
      <c r="B1956" s="1" t="str">
        <f>IFERROR(__xludf.DUMMYFUNCTION("GOOGLETRANSLATE(A1882, ""zh-CN"", ""en"")"),"Jiangsu Province")</f>
        <v>Jiangsu Province</v>
      </c>
      <c r="C1956" s="1" t="s">
        <v>1705</v>
      </c>
      <c r="D1956" s="1" t="str">
        <f>IFERROR(__xludf.DUMMYFUNCTION("GOOGLETRANSLATE(C1956, ""zh-CN"", ""en"")"),"Taizhou")</f>
        <v>Taizhou</v>
      </c>
      <c r="E1956" s="1" t="s">
        <v>1801</v>
      </c>
      <c r="F1956" s="1" t="str">
        <f>IFERROR(__xludf.DUMMYFUNCTION("GOOGLETRANSLATE(E1956, ""zh-CN"", ""en"")"),"Jiangyan District")</f>
        <v>Jiangyan District</v>
      </c>
      <c r="G1956" s="1">
        <v>3.21204E11</v>
      </c>
    </row>
    <row r="1957">
      <c r="A1957" s="1" t="s">
        <v>1693</v>
      </c>
      <c r="B1957" s="1" t="str">
        <f>IFERROR(__xludf.DUMMYFUNCTION("GOOGLETRANSLATE(A1883, ""zh-CN"", ""en"")"),"Jiangsu Province")</f>
        <v>Jiangsu Province</v>
      </c>
      <c r="C1957" s="1" t="s">
        <v>1705</v>
      </c>
      <c r="D1957" s="1" t="str">
        <f>IFERROR(__xludf.DUMMYFUNCTION("GOOGLETRANSLATE(C1957, ""zh-CN"", ""en"")"),"Taizhou")</f>
        <v>Taizhou</v>
      </c>
      <c r="E1957" s="1" t="s">
        <v>1802</v>
      </c>
      <c r="F1957" s="1" t="str">
        <f>IFERROR(__xludf.DUMMYFUNCTION("GOOGLETRANSLATE(E1957, ""zh-CN"", ""en"")"),"Taizhou Medical High -tech Industrial Development Zone")</f>
        <v>Taizhou Medical High -tech Industrial Development Zone</v>
      </c>
      <c r="G1957" s="1">
        <v>3.21271E11</v>
      </c>
    </row>
    <row r="1958">
      <c r="A1958" s="1" t="s">
        <v>1693</v>
      </c>
      <c r="B1958" s="1" t="str">
        <f>IFERROR(__xludf.DUMMYFUNCTION("GOOGLETRANSLATE(A1884, ""zh-CN"", ""en"")"),"Jiangsu Province")</f>
        <v>Jiangsu Province</v>
      </c>
      <c r="C1958" s="1" t="s">
        <v>1705</v>
      </c>
      <c r="D1958" s="1" t="str">
        <f>IFERROR(__xludf.DUMMYFUNCTION("GOOGLETRANSLATE(C1958, ""zh-CN"", ""en"")"),"Taizhou")</f>
        <v>Taizhou</v>
      </c>
      <c r="E1958" s="1" t="s">
        <v>1803</v>
      </c>
      <c r="F1958" s="1" t="str">
        <f>IFERROR(__xludf.DUMMYFUNCTION("GOOGLETRANSLATE(E1958, ""zh-CN"", ""en"")"),"Xinghua City")</f>
        <v>Xinghua City</v>
      </c>
      <c r="G1958" s="1">
        <v>3.21281E11</v>
      </c>
    </row>
    <row r="1959">
      <c r="A1959" s="1" t="s">
        <v>1693</v>
      </c>
      <c r="B1959" s="1" t="str">
        <f>IFERROR(__xludf.DUMMYFUNCTION("GOOGLETRANSLATE(A1885, ""zh-CN"", ""en"")"),"Jiangsu Province")</f>
        <v>Jiangsu Province</v>
      </c>
      <c r="C1959" s="1" t="s">
        <v>1705</v>
      </c>
      <c r="D1959" s="1" t="str">
        <f>IFERROR(__xludf.DUMMYFUNCTION("GOOGLETRANSLATE(C1959, ""zh-CN"", ""en"")"),"Taizhou")</f>
        <v>Taizhou</v>
      </c>
      <c r="E1959" s="1" t="s">
        <v>1804</v>
      </c>
      <c r="F1959" s="1" t="str">
        <f>IFERROR(__xludf.DUMMYFUNCTION("GOOGLETRANSLATE(E1959, ""zh-CN"", ""en"")"),"Jingjiang City")</f>
        <v>Jingjiang City</v>
      </c>
      <c r="G1959" s="1">
        <v>3.21282E11</v>
      </c>
    </row>
    <row r="1960">
      <c r="A1960" s="1" t="s">
        <v>1693</v>
      </c>
      <c r="B1960" s="1" t="str">
        <f>IFERROR(__xludf.DUMMYFUNCTION("GOOGLETRANSLATE(A1886, ""zh-CN"", ""en"")"),"Jiangsu Province")</f>
        <v>Jiangsu Province</v>
      </c>
      <c r="C1960" s="1" t="s">
        <v>1705</v>
      </c>
      <c r="D1960" s="1" t="str">
        <f>IFERROR(__xludf.DUMMYFUNCTION("GOOGLETRANSLATE(C1960, ""zh-CN"", ""en"")"),"Taizhou")</f>
        <v>Taizhou</v>
      </c>
      <c r="E1960" s="1" t="s">
        <v>1805</v>
      </c>
      <c r="F1960" s="1" t="str">
        <f>IFERROR(__xludf.DUMMYFUNCTION("GOOGLETRANSLATE(E1960, ""zh-CN"", ""en"")"),"Taixing City")</f>
        <v>Taixing City</v>
      </c>
      <c r="G1960" s="1">
        <v>3.21283E11</v>
      </c>
    </row>
    <row r="1961">
      <c r="A1961" s="1" t="s">
        <v>1693</v>
      </c>
      <c r="B1961" s="1" t="str">
        <f>IFERROR(__xludf.DUMMYFUNCTION("GOOGLETRANSLATE(A1887, ""zh-CN"", ""en"")"),"Jiangsu Province")</f>
        <v>Jiangsu Province</v>
      </c>
      <c r="C1961" s="1" t="s">
        <v>1706</v>
      </c>
      <c r="D1961" s="1" t="str">
        <f>IFERROR(__xludf.DUMMYFUNCTION("GOOGLETRANSLATE(C1961, ""zh-CN"", ""en"")"),"Suqian City")</f>
        <v>Suqian City</v>
      </c>
      <c r="E1961" s="1" t="s">
        <v>24</v>
      </c>
      <c r="F1961" s="1" t="str">
        <f>IFERROR(__xludf.DUMMYFUNCTION("GOOGLETRANSLATE(E1961, ""zh-CN"", ""en"")"),"City area")</f>
        <v>City area</v>
      </c>
      <c r="G1961" s="1">
        <v>3.21301E11</v>
      </c>
    </row>
    <row r="1962">
      <c r="A1962" s="1" t="s">
        <v>1693</v>
      </c>
      <c r="B1962" s="1" t="str">
        <f>IFERROR(__xludf.DUMMYFUNCTION("GOOGLETRANSLATE(A1888, ""zh-CN"", ""en"")"),"Jiangsu Province")</f>
        <v>Jiangsu Province</v>
      </c>
      <c r="C1962" s="1" t="s">
        <v>1706</v>
      </c>
      <c r="D1962" s="1" t="str">
        <f>IFERROR(__xludf.DUMMYFUNCTION("GOOGLETRANSLATE(C1962, ""zh-CN"", ""en"")"),"Suqian City")</f>
        <v>Suqian City</v>
      </c>
      <c r="E1962" s="1" t="s">
        <v>1806</v>
      </c>
      <c r="F1962" s="1" t="str">
        <f>IFERROR(__xludf.DUMMYFUNCTION("GOOGLETRANSLATE(E1962, ""zh-CN"", ""en"")"),"Cosmetic area")</f>
        <v>Cosmetic area</v>
      </c>
      <c r="G1962" s="1">
        <v>3.21302E11</v>
      </c>
    </row>
    <row r="1963">
      <c r="A1963" s="1" t="s">
        <v>1693</v>
      </c>
      <c r="B1963" s="1" t="str">
        <f>IFERROR(__xludf.DUMMYFUNCTION("GOOGLETRANSLATE(A1889, ""zh-CN"", ""en"")"),"Jiangsu Province")</f>
        <v>Jiangsu Province</v>
      </c>
      <c r="C1963" s="1" t="s">
        <v>1706</v>
      </c>
      <c r="D1963" s="1" t="str">
        <f>IFERROR(__xludf.DUMMYFUNCTION("GOOGLETRANSLATE(C1963, ""zh-CN"", ""en"")"),"Suqian City")</f>
        <v>Suqian City</v>
      </c>
      <c r="E1963" s="1" t="s">
        <v>1807</v>
      </c>
      <c r="F1963" s="1" t="str">
        <f>IFERROR(__xludf.DUMMYFUNCTION("GOOGLETRANSLATE(E1963, ""zh-CN"", ""en"")"),"Suyu District")</f>
        <v>Suyu District</v>
      </c>
      <c r="G1963" s="1">
        <v>3.21311E11</v>
      </c>
    </row>
    <row r="1964">
      <c r="A1964" s="1" t="s">
        <v>1693</v>
      </c>
      <c r="B1964" s="1" t="str">
        <f>IFERROR(__xludf.DUMMYFUNCTION("GOOGLETRANSLATE(A1890, ""zh-CN"", ""en"")"),"Jiangsu Province")</f>
        <v>Jiangsu Province</v>
      </c>
      <c r="C1964" s="1" t="s">
        <v>1706</v>
      </c>
      <c r="D1964" s="1" t="str">
        <f>IFERROR(__xludf.DUMMYFUNCTION("GOOGLETRANSLATE(C1964, ""zh-CN"", ""en"")"),"Suqian City")</f>
        <v>Suqian City</v>
      </c>
      <c r="E1964" s="1" t="s">
        <v>1808</v>
      </c>
      <c r="F1964" s="1" t="str">
        <f>IFERROR(__xludf.DUMMYFUNCTION("GOOGLETRANSLATE(E1964, ""zh-CN"", ""en"")"),"Puyang County")</f>
        <v>Puyang County</v>
      </c>
      <c r="G1964" s="1">
        <v>3.21322E11</v>
      </c>
    </row>
    <row r="1965">
      <c r="A1965" s="1" t="s">
        <v>1693</v>
      </c>
      <c r="B1965" s="1" t="str">
        <f>IFERROR(__xludf.DUMMYFUNCTION("GOOGLETRANSLATE(A1891, ""zh-CN"", ""en"")"),"Jiangsu Province")</f>
        <v>Jiangsu Province</v>
      </c>
      <c r="C1965" s="1" t="s">
        <v>1706</v>
      </c>
      <c r="D1965" s="1" t="str">
        <f>IFERROR(__xludf.DUMMYFUNCTION("GOOGLETRANSLATE(C1965, ""zh-CN"", ""en"")"),"Suqian City")</f>
        <v>Suqian City</v>
      </c>
      <c r="E1965" s="1" t="s">
        <v>1809</v>
      </c>
      <c r="F1965" s="1" t="str">
        <f>IFERROR(__xludf.DUMMYFUNCTION("GOOGLETRANSLATE(E1965, ""zh-CN"", ""en"")"),"Siyang County")</f>
        <v>Siyang County</v>
      </c>
      <c r="G1965" s="1">
        <v>3.21323E11</v>
      </c>
    </row>
    <row r="1966">
      <c r="A1966" s="1" t="s">
        <v>1693</v>
      </c>
      <c r="B1966" s="1" t="str">
        <f>IFERROR(__xludf.DUMMYFUNCTION("GOOGLETRANSLATE(A1892, ""zh-CN"", ""en"")"),"Jiangsu Province")</f>
        <v>Jiangsu Province</v>
      </c>
      <c r="C1966" s="1" t="s">
        <v>1706</v>
      </c>
      <c r="D1966" s="1" t="str">
        <f>IFERROR(__xludf.DUMMYFUNCTION("GOOGLETRANSLATE(C1966, ""zh-CN"", ""en"")"),"Suqian City")</f>
        <v>Suqian City</v>
      </c>
      <c r="E1966" s="1" t="s">
        <v>1810</v>
      </c>
      <c r="F1966" s="1" t="str">
        <f>IFERROR(__xludf.DUMMYFUNCTION("GOOGLETRANSLATE(E1966, ""zh-CN"", ""en"")"),"Sihong County")</f>
        <v>Sihong County</v>
      </c>
      <c r="G1966" s="1">
        <v>3.21324E11</v>
      </c>
    </row>
    <row r="1967">
      <c r="A1967" s="1" t="s">
        <v>1693</v>
      </c>
      <c r="B1967" s="1" t="str">
        <f>IFERROR(__xludf.DUMMYFUNCTION("GOOGLETRANSLATE(A1893, ""zh-CN"", ""en"")"),"Jiangsu Province")</f>
        <v>Jiangsu Province</v>
      </c>
      <c r="C1967" s="1" t="s">
        <v>1706</v>
      </c>
      <c r="D1967" s="1" t="str">
        <f>IFERROR(__xludf.DUMMYFUNCTION("GOOGLETRANSLATE(C1967, ""zh-CN"", ""en"")"),"Suqian City")</f>
        <v>Suqian City</v>
      </c>
      <c r="E1967" s="1" t="s">
        <v>1811</v>
      </c>
      <c r="F1967" s="1" t="str">
        <f>IFERROR(__xludf.DUMMYFUNCTION("GOOGLETRANSLATE(E1967, ""zh-CN"", ""en"")"),"Suqian Economic and Technological Development Zone")</f>
        <v>Suqian Economic and Technological Development Zone</v>
      </c>
      <c r="G1967" s="1">
        <v>3.21371E11</v>
      </c>
    </row>
    <row r="1968">
      <c r="A1968" s="1" t="s">
        <v>1812</v>
      </c>
      <c r="B1968" s="1" t="str">
        <f>IFERROR(__xludf.DUMMYFUNCTION("GOOGLETRANSLATE(A1894, ""zh-CN"", ""en"")"),"Jiangsu Province")</f>
        <v>Jiangsu Province</v>
      </c>
      <c r="C1968" s="1" t="s">
        <v>8</v>
      </c>
      <c r="D1968" s="1" t="str">
        <f>IFERROR(__xludf.DUMMYFUNCTION("GOOGLETRANSLATE(C1968, ""zh-CN"", ""en"")"),"Na")</f>
        <v>Na</v>
      </c>
      <c r="E1968" s="1" t="s">
        <v>8</v>
      </c>
      <c r="F1968" s="1" t="str">
        <f>IFERROR(__xludf.DUMMYFUNCTION("GOOGLETRANSLATE(E1968, ""zh-CN"", ""en"")"),"Na")</f>
        <v>Na</v>
      </c>
      <c r="G1968" s="1">
        <v>35.0</v>
      </c>
    </row>
    <row r="1969">
      <c r="A1969" s="1" t="s">
        <v>1812</v>
      </c>
      <c r="B1969" s="1" t="str">
        <f>IFERROR(__xludf.DUMMYFUNCTION("GOOGLETRANSLATE(A1895, ""zh-CN"", ""en"")"),"Jiangsu Province")</f>
        <v>Jiangsu Province</v>
      </c>
      <c r="C1969" s="1" t="s">
        <v>1813</v>
      </c>
      <c r="D1969" s="1" t="str">
        <f>IFERROR(__xludf.DUMMYFUNCTION("GOOGLETRANSLATE(C1969, ""zh-CN"", ""en"")"),"Fuzhou")</f>
        <v>Fuzhou</v>
      </c>
      <c r="E1969" s="1" t="s">
        <v>8</v>
      </c>
      <c r="F1969" s="1" t="str">
        <f>IFERROR(__xludf.DUMMYFUNCTION("GOOGLETRANSLATE(E1969, ""zh-CN"", ""en"")"),"Na")</f>
        <v>Na</v>
      </c>
      <c r="G1969" s="1">
        <v>3.501E11</v>
      </c>
    </row>
    <row r="1970">
      <c r="A1970" s="1" t="s">
        <v>1812</v>
      </c>
      <c r="B1970" s="1" t="str">
        <f>IFERROR(__xludf.DUMMYFUNCTION("GOOGLETRANSLATE(A1896, ""zh-CN"", ""en"")"),"Jiangsu Province")</f>
        <v>Jiangsu Province</v>
      </c>
      <c r="C1970" s="1" t="s">
        <v>1814</v>
      </c>
      <c r="D1970" s="1" t="str">
        <f>IFERROR(__xludf.DUMMYFUNCTION("GOOGLETRANSLATE(C1970, ""zh-CN"", ""en"")"),"Xiamen City")</f>
        <v>Xiamen City</v>
      </c>
      <c r="E1970" s="1" t="s">
        <v>8</v>
      </c>
      <c r="F1970" s="1" t="str">
        <f>IFERROR(__xludf.DUMMYFUNCTION("GOOGLETRANSLATE(E1970, ""zh-CN"", ""en"")"),"Na")</f>
        <v>Na</v>
      </c>
      <c r="G1970" s="1">
        <v>3.502E11</v>
      </c>
    </row>
    <row r="1971">
      <c r="A1971" s="1" t="s">
        <v>1812</v>
      </c>
      <c r="B1971" s="1" t="str">
        <f>IFERROR(__xludf.DUMMYFUNCTION("GOOGLETRANSLATE(A1897, ""zh-CN"", ""en"")"),"Jiangsu Province")</f>
        <v>Jiangsu Province</v>
      </c>
      <c r="C1971" s="1" t="s">
        <v>1815</v>
      </c>
      <c r="D1971" s="1" t="str">
        <f>IFERROR(__xludf.DUMMYFUNCTION("GOOGLETRANSLATE(C1971, ""zh-CN"", ""en"")"),"Putian City")</f>
        <v>Putian City</v>
      </c>
      <c r="E1971" s="1" t="s">
        <v>8</v>
      </c>
      <c r="F1971" s="1" t="str">
        <f>IFERROR(__xludf.DUMMYFUNCTION("GOOGLETRANSLATE(E1971, ""zh-CN"", ""en"")"),"Na")</f>
        <v>Na</v>
      </c>
      <c r="G1971" s="1">
        <v>3.503E11</v>
      </c>
    </row>
    <row r="1972">
      <c r="A1972" s="1" t="s">
        <v>1812</v>
      </c>
      <c r="B1972" s="1" t="str">
        <f>IFERROR(__xludf.DUMMYFUNCTION("GOOGLETRANSLATE(A1898, ""zh-CN"", ""en"")"),"Jiangsu Province")</f>
        <v>Jiangsu Province</v>
      </c>
      <c r="C1972" s="1" t="s">
        <v>1816</v>
      </c>
      <c r="D1972" s="1" t="str">
        <f>IFERROR(__xludf.DUMMYFUNCTION("GOOGLETRANSLATE(C1972, ""zh-CN"", ""en"")"),"Sanming")</f>
        <v>Sanming</v>
      </c>
      <c r="E1972" s="1" t="s">
        <v>8</v>
      </c>
      <c r="F1972" s="1" t="str">
        <f>IFERROR(__xludf.DUMMYFUNCTION("GOOGLETRANSLATE(E1972, ""zh-CN"", ""en"")"),"Na")</f>
        <v>Na</v>
      </c>
      <c r="G1972" s="1">
        <v>3.504E11</v>
      </c>
    </row>
    <row r="1973">
      <c r="A1973" s="1" t="s">
        <v>1812</v>
      </c>
      <c r="B1973" s="1" t="str">
        <f>IFERROR(__xludf.DUMMYFUNCTION("GOOGLETRANSLATE(A1899, ""zh-CN"", ""en"")"),"Jiangsu Province")</f>
        <v>Jiangsu Province</v>
      </c>
      <c r="C1973" s="1" t="s">
        <v>1817</v>
      </c>
      <c r="D1973" s="1" t="str">
        <f>IFERROR(__xludf.DUMMYFUNCTION("GOOGLETRANSLATE(C1973, ""zh-CN"", ""en"")"),"Quanzhou")</f>
        <v>Quanzhou</v>
      </c>
      <c r="E1973" s="1" t="s">
        <v>8</v>
      </c>
      <c r="F1973" s="1" t="str">
        <f>IFERROR(__xludf.DUMMYFUNCTION("GOOGLETRANSLATE(E1973, ""zh-CN"", ""en"")"),"Na")</f>
        <v>Na</v>
      </c>
      <c r="G1973" s="1">
        <v>3.505E11</v>
      </c>
    </row>
    <row r="1974">
      <c r="A1974" s="1" t="s">
        <v>1812</v>
      </c>
      <c r="B1974" s="1" t="str">
        <f>IFERROR(__xludf.DUMMYFUNCTION("GOOGLETRANSLATE(A1900, ""zh-CN"", ""en"")"),"Jiangsu Province")</f>
        <v>Jiangsu Province</v>
      </c>
      <c r="C1974" s="1" t="s">
        <v>1818</v>
      </c>
      <c r="D1974" s="1" t="str">
        <f>IFERROR(__xludf.DUMMYFUNCTION("GOOGLETRANSLATE(C1974, ""zh-CN"", ""en"")"),"Zhangzhou")</f>
        <v>Zhangzhou</v>
      </c>
      <c r="E1974" s="1" t="s">
        <v>8</v>
      </c>
      <c r="F1974" s="1" t="str">
        <f>IFERROR(__xludf.DUMMYFUNCTION("GOOGLETRANSLATE(E1974, ""zh-CN"", ""en"")"),"Na")</f>
        <v>Na</v>
      </c>
      <c r="G1974" s="1">
        <v>3.506E11</v>
      </c>
    </row>
    <row r="1975">
      <c r="A1975" s="1" t="s">
        <v>1812</v>
      </c>
      <c r="B1975" s="1" t="str">
        <f>IFERROR(__xludf.DUMMYFUNCTION("GOOGLETRANSLATE(A1901, ""zh-CN"", ""en"")"),"Jiangsu Province")</f>
        <v>Jiangsu Province</v>
      </c>
      <c r="C1975" s="1" t="s">
        <v>1819</v>
      </c>
      <c r="D1975" s="1" t="str">
        <f>IFERROR(__xludf.DUMMYFUNCTION("GOOGLETRANSLATE(C1975, ""zh-CN"", ""en"")"),"Nanping")</f>
        <v>Nanping</v>
      </c>
      <c r="E1975" s="1" t="s">
        <v>8</v>
      </c>
      <c r="F1975" s="1" t="str">
        <f>IFERROR(__xludf.DUMMYFUNCTION("GOOGLETRANSLATE(E1975, ""zh-CN"", ""en"")"),"Na")</f>
        <v>Na</v>
      </c>
      <c r="G1975" s="1">
        <v>3.507E11</v>
      </c>
    </row>
    <row r="1976">
      <c r="A1976" s="1" t="s">
        <v>1812</v>
      </c>
      <c r="B1976" s="1" t="str">
        <f>IFERROR(__xludf.DUMMYFUNCTION("GOOGLETRANSLATE(A1902, ""zh-CN"", ""en"")"),"Jiangsu Province")</f>
        <v>Jiangsu Province</v>
      </c>
      <c r="C1976" s="1" t="s">
        <v>1820</v>
      </c>
      <c r="D1976" s="1" t="str">
        <f>IFERROR(__xludf.DUMMYFUNCTION("GOOGLETRANSLATE(C1976, ""zh-CN"", ""en"")"),"Longyan City")</f>
        <v>Longyan City</v>
      </c>
      <c r="E1976" s="1" t="s">
        <v>8</v>
      </c>
      <c r="F1976" s="1" t="str">
        <f>IFERROR(__xludf.DUMMYFUNCTION("GOOGLETRANSLATE(E1976, ""zh-CN"", ""en"")"),"Na")</f>
        <v>Na</v>
      </c>
      <c r="G1976" s="1">
        <v>3.508E11</v>
      </c>
    </row>
    <row r="1977">
      <c r="A1977" s="1" t="s">
        <v>1812</v>
      </c>
      <c r="B1977" s="1" t="str">
        <f>IFERROR(__xludf.DUMMYFUNCTION("GOOGLETRANSLATE(A1903, ""zh-CN"", ""en"")"),"Jiangsu Province")</f>
        <v>Jiangsu Province</v>
      </c>
      <c r="C1977" s="1" t="s">
        <v>1821</v>
      </c>
      <c r="D1977" s="1" t="str">
        <f>IFERROR(__xludf.DUMMYFUNCTION("GOOGLETRANSLATE(C1977, ""zh-CN"", ""en"")"),"Ningde City")</f>
        <v>Ningde City</v>
      </c>
      <c r="E1977" s="1" t="s">
        <v>8</v>
      </c>
      <c r="F1977" s="1" t="str">
        <f>IFERROR(__xludf.DUMMYFUNCTION("GOOGLETRANSLATE(E1977, ""zh-CN"", ""en"")"),"Na")</f>
        <v>Na</v>
      </c>
      <c r="G1977" s="1">
        <v>3.509E11</v>
      </c>
    </row>
    <row r="1978">
      <c r="A1978" s="1" t="s">
        <v>1812</v>
      </c>
      <c r="B1978" s="1" t="str">
        <f>IFERROR(__xludf.DUMMYFUNCTION("GOOGLETRANSLATE(A1904, ""zh-CN"", ""en"")"),"Jiangsu Province")</f>
        <v>Jiangsu Province</v>
      </c>
      <c r="C1978" s="1" t="s">
        <v>1813</v>
      </c>
      <c r="D1978" s="1" t="str">
        <f>IFERROR(__xludf.DUMMYFUNCTION("GOOGLETRANSLATE(C1978, ""zh-CN"", ""en"")"),"Fuzhou")</f>
        <v>Fuzhou</v>
      </c>
      <c r="E1978" s="1" t="s">
        <v>24</v>
      </c>
      <c r="F1978" s="1" t="str">
        <f>IFERROR(__xludf.DUMMYFUNCTION("GOOGLETRANSLATE(E1978, ""zh-CN"", ""en"")"),"City area")</f>
        <v>City area</v>
      </c>
      <c r="G1978" s="1">
        <v>3.50101E11</v>
      </c>
    </row>
    <row r="1979">
      <c r="A1979" s="1" t="s">
        <v>1812</v>
      </c>
      <c r="B1979" s="1" t="str">
        <f>IFERROR(__xludf.DUMMYFUNCTION("GOOGLETRANSLATE(A1905, ""zh-CN"", ""en"")"),"Jiangsu Province")</f>
        <v>Jiangsu Province</v>
      </c>
      <c r="C1979" s="1" t="s">
        <v>1813</v>
      </c>
      <c r="D1979" s="1" t="str">
        <f>IFERROR(__xludf.DUMMYFUNCTION("GOOGLETRANSLATE(C1979, ""zh-CN"", ""en"")"),"Fuzhou")</f>
        <v>Fuzhou</v>
      </c>
      <c r="E1979" s="1" t="s">
        <v>1710</v>
      </c>
      <c r="F1979" s="1" t="str">
        <f>IFERROR(__xludf.DUMMYFUNCTION("GOOGLETRANSLATE(E1979, ""zh-CN"", ""en"")"),"Gulou District")</f>
        <v>Gulou District</v>
      </c>
      <c r="G1979" s="1">
        <v>3.50102E11</v>
      </c>
    </row>
    <row r="1980">
      <c r="A1980" s="1" t="s">
        <v>1812</v>
      </c>
      <c r="B1980" s="1" t="str">
        <f>IFERROR(__xludf.DUMMYFUNCTION("GOOGLETRANSLATE(A1906, ""zh-CN"", ""en"")"),"Jiangsu Province")</f>
        <v>Jiangsu Province</v>
      </c>
      <c r="C1980" s="1" t="s">
        <v>1813</v>
      </c>
      <c r="D1980" s="1" t="str">
        <f>IFERROR(__xludf.DUMMYFUNCTION("GOOGLETRANSLATE(C1980, ""zh-CN"", ""en"")"),"Fuzhou")</f>
        <v>Fuzhou</v>
      </c>
      <c r="E1980" s="1" t="s">
        <v>1822</v>
      </c>
      <c r="F1980" s="1" t="str">
        <f>IFERROR(__xludf.DUMMYFUNCTION("GOOGLETRANSLATE(E1980, ""zh-CN"", ""en"")"),"Taijiang District")</f>
        <v>Taijiang District</v>
      </c>
      <c r="G1980" s="1">
        <v>3.50103E11</v>
      </c>
    </row>
    <row r="1981">
      <c r="A1981" s="1" t="s">
        <v>1812</v>
      </c>
      <c r="B1981" s="1" t="str">
        <f>IFERROR(__xludf.DUMMYFUNCTION("GOOGLETRANSLATE(A1907, ""zh-CN"", ""en"")"),"Jiangsu Province")</f>
        <v>Jiangsu Province</v>
      </c>
      <c r="C1981" s="1" t="s">
        <v>1813</v>
      </c>
      <c r="D1981" s="1" t="str">
        <f>IFERROR(__xludf.DUMMYFUNCTION("GOOGLETRANSLATE(C1981, ""zh-CN"", ""en"")"),"Fuzhou")</f>
        <v>Fuzhou</v>
      </c>
      <c r="E1981" s="1" t="s">
        <v>1823</v>
      </c>
      <c r="F1981" s="1" t="str">
        <f>IFERROR(__xludf.DUMMYFUNCTION("GOOGLETRANSLATE(E1981, ""zh-CN"", ""en"")"),"Cangshan District")</f>
        <v>Cangshan District</v>
      </c>
      <c r="G1981" s="1">
        <v>3.50104E11</v>
      </c>
    </row>
    <row r="1982">
      <c r="A1982" s="1" t="s">
        <v>1812</v>
      </c>
      <c r="B1982" s="1" t="str">
        <f>IFERROR(__xludf.DUMMYFUNCTION("GOOGLETRANSLATE(A1908, ""zh-CN"", ""en"")"),"Jiangsu Province")</f>
        <v>Jiangsu Province</v>
      </c>
      <c r="C1982" s="1" t="s">
        <v>1813</v>
      </c>
      <c r="D1982" s="1" t="str">
        <f>IFERROR(__xludf.DUMMYFUNCTION("GOOGLETRANSLATE(C1982, ""zh-CN"", ""en"")"),"Fuzhou")</f>
        <v>Fuzhou</v>
      </c>
      <c r="E1982" s="1" t="s">
        <v>1824</v>
      </c>
      <c r="F1982" s="1" t="str">
        <f>IFERROR(__xludf.DUMMYFUNCTION("GOOGLETRANSLATE(E1982, ""zh-CN"", ""en"")"),"Mawei District")</f>
        <v>Mawei District</v>
      </c>
      <c r="G1982" s="1">
        <v>3.50105E11</v>
      </c>
    </row>
    <row r="1983">
      <c r="A1983" s="1" t="s">
        <v>1812</v>
      </c>
      <c r="B1983" s="1" t="str">
        <f>IFERROR(__xludf.DUMMYFUNCTION("GOOGLETRANSLATE(A1909, ""zh-CN"", ""en"")"),"Jiangsu Province")</f>
        <v>Jiangsu Province</v>
      </c>
      <c r="C1983" s="1" t="s">
        <v>1813</v>
      </c>
      <c r="D1983" s="1" t="str">
        <f>IFERROR(__xludf.DUMMYFUNCTION("GOOGLETRANSLATE(C1983, ""zh-CN"", ""en"")"),"Fuzhou")</f>
        <v>Fuzhou</v>
      </c>
      <c r="E1983" s="1" t="s">
        <v>1825</v>
      </c>
      <c r="F1983" s="1" t="str">
        <f>IFERROR(__xludf.DUMMYFUNCTION("GOOGLETRANSLATE(E1983, ""zh-CN"", ""en"")"),"Jin'an District")</f>
        <v>Jin'an District</v>
      </c>
      <c r="G1983" s="1">
        <v>3.50111E11</v>
      </c>
    </row>
    <row r="1984">
      <c r="A1984" s="1" t="s">
        <v>1812</v>
      </c>
      <c r="B1984" s="1" t="str">
        <f>IFERROR(__xludf.DUMMYFUNCTION("GOOGLETRANSLATE(A1910, ""zh-CN"", ""en"")"),"Jiangsu Province")</f>
        <v>Jiangsu Province</v>
      </c>
      <c r="C1984" s="1" t="s">
        <v>1813</v>
      </c>
      <c r="D1984" s="1" t="str">
        <f>IFERROR(__xludf.DUMMYFUNCTION("GOOGLETRANSLATE(C1984, ""zh-CN"", ""en"")"),"Fuzhou")</f>
        <v>Fuzhou</v>
      </c>
      <c r="E1984" s="1" t="s">
        <v>1826</v>
      </c>
      <c r="F1984" s="1" t="str">
        <f>IFERROR(__xludf.DUMMYFUNCTION("GOOGLETRANSLATE(E1984, ""zh-CN"", ""en"")"),"Changle District")</f>
        <v>Changle District</v>
      </c>
      <c r="G1984" s="1">
        <v>3.50112E11</v>
      </c>
    </row>
    <row r="1985">
      <c r="A1985" s="1" t="s">
        <v>1812</v>
      </c>
      <c r="B1985" s="1" t="str">
        <f>IFERROR(__xludf.DUMMYFUNCTION("GOOGLETRANSLATE(A1911, ""zh-CN"", ""en"")"),"Jiangsu Province")</f>
        <v>Jiangsu Province</v>
      </c>
      <c r="C1985" s="1" t="s">
        <v>1813</v>
      </c>
      <c r="D1985" s="1" t="str">
        <f>IFERROR(__xludf.DUMMYFUNCTION("GOOGLETRANSLATE(C1985, ""zh-CN"", ""en"")"),"Fuzhou")</f>
        <v>Fuzhou</v>
      </c>
      <c r="E1985" s="1" t="s">
        <v>1827</v>
      </c>
      <c r="F1985" s="1" t="str">
        <f>IFERROR(__xludf.DUMMYFUNCTION("GOOGLETRANSLATE(E1985, ""zh-CN"", ""en"")"),"Minhou County")</f>
        <v>Minhou County</v>
      </c>
      <c r="G1985" s="1">
        <v>3.50121E11</v>
      </c>
    </row>
    <row r="1986">
      <c r="A1986" s="1" t="s">
        <v>1812</v>
      </c>
      <c r="B1986" s="1" t="str">
        <f>IFERROR(__xludf.DUMMYFUNCTION("GOOGLETRANSLATE(A1912, ""zh-CN"", ""en"")"),"Jiangsu Province")</f>
        <v>Jiangsu Province</v>
      </c>
      <c r="C1986" s="1" t="s">
        <v>1813</v>
      </c>
      <c r="D1986" s="1" t="str">
        <f>IFERROR(__xludf.DUMMYFUNCTION("GOOGLETRANSLATE(C1986, ""zh-CN"", ""en"")"),"Fuzhou")</f>
        <v>Fuzhou</v>
      </c>
      <c r="E1986" s="1" t="s">
        <v>1828</v>
      </c>
      <c r="F1986" s="1" t="str">
        <f>IFERROR(__xludf.DUMMYFUNCTION("GOOGLETRANSLATE(E1986, ""zh-CN"", ""en"")"),"Lianjiang County")</f>
        <v>Lianjiang County</v>
      </c>
      <c r="G1986" s="1">
        <v>3.50122E11</v>
      </c>
    </row>
    <row r="1987">
      <c r="A1987" s="1" t="s">
        <v>1812</v>
      </c>
      <c r="B1987" s="1" t="str">
        <f>IFERROR(__xludf.DUMMYFUNCTION("GOOGLETRANSLATE(A1913, ""zh-CN"", ""en"")"),"Jiangsu Province")</f>
        <v>Jiangsu Province</v>
      </c>
      <c r="C1987" s="1" t="s">
        <v>1813</v>
      </c>
      <c r="D1987" s="1" t="str">
        <f>IFERROR(__xludf.DUMMYFUNCTION("GOOGLETRANSLATE(C1987, ""zh-CN"", ""en"")"),"Fuzhou")</f>
        <v>Fuzhou</v>
      </c>
      <c r="E1987" s="1" t="s">
        <v>1829</v>
      </c>
      <c r="F1987" s="1" t="str">
        <f>IFERROR(__xludf.DUMMYFUNCTION("GOOGLETRANSLATE(E1987, ""zh-CN"", ""en"")"),"Luoyuan County")</f>
        <v>Luoyuan County</v>
      </c>
      <c r="G1987" s="1">
        <v>3.50123E11</v>
      </c>
    </row>
    <row r="1988">
      <c r="A1988" s="1" t="s">
        <v>1812</v>
      </c>
      <c r="B1988" s="1" t="str">
        <f>IFERROR(__xludf.DUMMYFUNCTION("GOOGLETRANSLATE(A1914, ""zh-CN"", ""en"")"),"Jiangsu Province")</f>
        <v>Jiangsu Province</v>
      </c>
      <c r="C1988" s="1" t="s">
        <v>1813</v>
      </c>
      <c r="D1988" s="1" t="str">
        <f>IFERROR(__xludf.DUMMYFUNCTION("GOOGLETRANSLATE(C1988, ""zh-CN"", ""en"")"),"Fuzhou")</f>
        <v>Fuzhou</v>
      </c>
      <c r="E1988" s="1" t="s">
        <v>1830</v>
      </c>
      <c r="F1988" s="1" t="str">
        <f>IFERROR(__xludf.DUMMYFUNCTION("GOOGLETRANSLATE(E1988, ""zh-CN"", ""en"")"),"Minqing County")</f>
        <v>Minqing County</v>
      </c>
      <c r="G1988" s="1">
        <v>3.50124E11</v>
      </c>
    </row>
    <row r="1989">
      <c r="A1989" s="1" t="s">
        <v>1812</v>
      </c>
      <c r="B1989" s="1" t="str">
        <f>IFERROR(__xludf.DUMMYFUNCTION("GOOGLETRANSLATE(A1915, ""zh-CN"", ""en"")"),"Jiangsu Province")</f>
        <v>Jiangsu Province</v>
      </c>
      <c r="C1989" s="1" t="s">
        <v>1813</v>
      </c>
      <c r="D1989" s="1" t="str">
        <f>IFERROR(__xludf.DUMMYFUNCTION("GOOGLETRANSLATE(C1989, ""zh-CN"", ""en"")"),"Fuzhou")</f>
        <v>Fuzhou</v>
      </c>
      <c r="E1989" s="1" t="s">
        <v>1831</v>
      </c>
      <c r="F1989" s="1" t="str">
        <f>IFERROR(__xludf.DUMMYFUNCTION("GOOGLETRANSLATE(E1989, ""zh-CN"", ""en"")"),"Yongtai County")</f>
        <v>Yongtai County</v>
      </c>
      <c r="G1989" s="1">
        <v>3.50125E11</v>
      </c>
    </row>
    <row r="1990">
      <c r="A1990" s="1" t="s">
        <v>1812</v>
      </c>
      <c r="B1990" s="1" t="str">
        <f>IFERROR(__xludf.DUMMYFUNCTION("GOOGLETRANSLATE(A1916, ""zh-CN"", ""en"")"),"Jiangsu Province")</f>
        <v>Jiangsu Province</v>
      </c>
      <c r="C1990" s="1" t="s">
        <v>1813</v>
      </c>
      <c r="D1990" s="1" t="str">
        <f>IFERROR(__xludf.DUMMYFUNCTION("GOOGLETRANSLATE(C1990, ""zh-CN"", ""en"")"),"Fuzhou")</f>
        <v>Fuzhou</v>
      </c>
      <c r="E1990" s="1" t="s">
        <v>1832</v>
      </c>
      <c r="F1990" s="1" t="str">
        <f>IFERROR(__xludf.DUMMYFUNCTION("GOOGLETRANSLATE(E1990, ""zh-CN"", ""en"")"),"Pingtan County")</f>
        <v>Pingtan County</v>
      </c>
      <c r="G1990" s="1">
        <v>3.50128E11</v>
      </c>
    </row>
    <row r="1991">
      <c r="A1991" s="1" t="s">
        <v>1812</v>
      </c>
      <c r="B1991" s="1" t="str">
        <f>IFERROR(__xludf.DUMMYFUNCTION("GOOGLETRANSLATE(A1917, ""zh-CN"", ""en"")"),"Jiangsu Province")</f>
        <v>Jiangsu Province</v>
      </c>
      <c r="C1991" s="1" t="s">
        <v>1813</v>
      </c>
      <c r="D1991" s="1" t="str">
        <f>IFERROR(__xludf.DUMMYFUNCTION("GOOGLETRANSLATE(C1991, ""zh-CN"", ""en"")"),"Fuzhou")</f>
        <v>Fuzhou</v>
      </c>
      <c r="E1991" s="1" t="s">
        <v>1833</v>
      </c>
      <c r="F1991" s="1" t="str">
        <f>IFERROR(__xludf.DUMMYFUNCTION("GOOGLETRANSLATE(E1991, ""zh-CN"", ""en"")"),"Fuqing City")</f>
        <v>Fuqing City</v>
      </c>
      <c r="G1991" s="1">
        <v>3.50181E11</v>
      </c>
    </row>
    <row r="1992">
      <c r="A1992" s="1" t="s">
        <v>1812</v>
      </c>
      <c r="B1992" s="1" t="str">
        <f>IFERROR(__xludf.DUMMYFUNCTION("GOOGLETRANSLATE(A1918, ""zh-CN"", ""en"")"),"Jiangsu Province")</f>
        <v>Jiangsu Province</v>
      </c>
      <c r="C1992" s="1" t="s">
        <v>1814</v>
      </c>
      <c r="D1992" s="1" t="str">
        <f>IFERROR(__xludf.DUMMYFUNCTION("GOOGLETRANSLATE(C1992, ""zh-CN"", ""en"")"),"Xiamen City")</f>
        <v>Xiamen City</v>
      </c>
      <c r="E1992" s="1" t="s">
        <v>24</v>
      </c>
      <c r="F1992" s="1" t="str">
        <f>IFERROR(__xludf.DUMMYFUNCTION("GOOGLETRANSLATE(E1992, ""zh-CN"", ""en"")"),"City area")</f>
        <v>City area</v>
      </c>
      <c r="G1992" s="1">
        <v>3.50201E11</v>
      </c>
    </row>
    <row r="1993">
      <c r="A1993" s="1" t="s">
        <v>1812</v>
      </c>
      <c r="B1993" s="1" t="str">
        <f>IFERROR(__xludf.DUMMYFUNCTION("GOOGLETRANSLATE(A1919, ""zh-CN"", ""en"")"),"Jiangsu Province")</f>
        <v>Jiangsu Province</v>
      </c>
      <c r="C1993" s="1" t="s">
        <v>1814</v>
      </c>
      <c r="D1993" s="1" t="str">
        <f>IFERROR(__xludf.DUMMYFUNCTION("GOOGLETRANSLATE(C1993, ""zh-CN"", ""en"")"),"Xiamen City")</f>
        <v>Xiamen City</v>
      </c>
      <c r="E1993" s="1" t="s">
        <v>1834</v>
      </c>
      <c r="F1993" s="1" t="str">
        <f>IFERROR(__xludf.DUMMYFUNCTION("GOOGLETRANSLATE(E1993, ""zh-CN"", ""en"")"),"Siming District")</f>
        <v>Siming District</v>
      </c>
      <c r="G1993" s="1">
        <v>3.50203E11</v>
      </c>
    </row>
    <row r="1994">
      <c r="A1994" s="1" t="s">
        <v>1812</v>
      </c>
      <c r="B1994" s="1" t="str">
        <f>IFERROR(__xludf.DUMMYFUNCTION("GOOGLETRANSLATE(A1920, ""zh-CN"", ""en"")"),"Jiangsu Province")</f>
        <v>Jiangsu Province</v>
      </c>
      <c r="C1994" s="1" t="s">
        <v>1814</v>
      </c>
      <c r="D1994" s="1" t="str">
        <f>IFERROR(__xludf.DUMMYFUNCTION("GOOGLETRANSLATE(C1994, ""zh-CN"", ""en"")"),"Xiamen City")</f>
        <v>Xiamen City</v>
      </c>
      <c r="E1994" s="1" t="s">
        <v>1835</v>
      </c>
      <c r="F1994" s="1" t="str">
        <f>IFERROR(__xludf.DUMMYFUNCTION("GOOGLETRANSLATE(E1994, ""zh-CN"", ""en"")"),"Haicang District")</f>
        <v>Haicang District</v>
      </c>
      <c r="G1994" s="1">
        <v>3.50205E11</v>
      </c>
    </row>
    <row r="1995">
      <c r="A1995" s="1" t="s">
        <v>1812</v>
      </c>
      <c r="B1995" s="1" t="str">
        <f>IFERROR(__xludf.DUMMYFUNCTION("GOOGLETRANSLATE(A1921, ""zh-CN"", ""en"")"),"Jiangsu Province")</f>
        <v>Jiangsu Province</v>
      </c>
      <c r="C1995" s="1" t="s">
        <v>1814</v>
      </c>
      <c r="D1995" s="1" t="str">
        <f>IFERROR(__xludf.DUMMYFUNCTION("GOOGLETRANSLATE(C1995, ""zh-CN"", ""en"")"),"Xiamen City")</f>
        <v>Xiamen City</v>
      </c>
      <c r="E1995" s="1" t="s">
        <v>1836</v>
      </c>
      <c r="F1995" s="1" t="str">
        <f>IFERROR(__xludf.DUMMYFUNCTION("GOOGLETRANSLATE(E1995, ""zh-CN"", ""en"")"),"Lake")</f>
        <v>Lake</v>
      </c>
      <c r="G1995" s="1">
        <v>3.50206E11</v>
      </c>
    </row>
    <row r="1996">
      <c r="A1996" s="1" t="s">
        <v>1812</v>
      </c>
      <c r="B1996" s="1" t="str">
        <f>IFERROR(__xludf.DUMMYFUNCTION("GOOGLETRANSLATE(A1922, ""zh-CN"", ""en"")"),"Jiangsu Province")</f>
        <v>Jiangsu Province</v>
      </c>
      <c r="C1996" s="1" t="s">
        <v>1814</v>
      </c>
      <c r="D1996" s="1" t="str">
        <f>IFERROR(__xludf.DUMMYFUNCTION("GOOGLETRANSLATE(C1996, ""zh-CN"", ""en"")"),"Xiamen City")</f>
        <v>Xiamen City</v>
      </c>
      <c r="E1996" s="1" t="s">
        <v>1837</v>
      </c>
      <c r="F1996" s="1" t="str">
        <f>IFERROR(__xludf.DUMMYFUNCTION("GOOGLETRANSLATE(E1996, ""zh-CN"", ""en"")"),"Jimei District")</f>
        <v>Jimei District</v>
      </c>
      <c r="G1996" s="1">
        <v>3.50211E11</v>
      </c>
    </row>
    <row r="1997">
      <c r="A1997" s="1" t="s">
        <v>1812</v>
      </c>
      <c r="B1997" s="1" t="str">
        <f>IFERROR(__xludf.DUMMYFUNCTION("GOOGLETRANSLATE(A1923, ""zh-CN"", ""en"")"),"Jiangsu Province")</f>
        <v>Jiangsu Province</v>
      </c>
      <c r="C1997" s="1" t="s">
        <v>1814</v>
      </c>
      <c r="D1997" s="1" t="str">
        <f>IFERROR(__xludf.DUMMYFUNCTION("GOOGLETRANSLATE(C1997, ""zh-CN"", ""en"")"),"Xiamen City")</f>
        <v>Xiamen City</v>
      </c>
      <c r="E1997" s="1" t="s">
        <v>1838</v>
      </c>
      <c r="F1997" s="1" t="str">
        <f>IFERROR(__xludf.DUMMYFUNCTION("GOOGLETRANSLATE(E1997, ""zh-CN"", ""en"")"),"Tong'an District")</f>
        <v>Tong'an District</v>
      </c>
      <c r="G1997" s="1">
        <v>3.50212E11</v>
      </c>
    </row>
    <row r="1998">
      <c r="A1998" s="1" t="s">
        <v>1812</v>
      </c>
      <c r="B1998" s="1" t="str">
        <f>IFERROR(__xludf.DUMMYFUNCTION("GOOGLETRANSLATE(A1924, ""zh-CN"", ""en"")"),"Jiangsu Province")</f>
        <v>Jiangsu Province</v>
      </c>
      <c r="C1998" s="1" t="s">
        <v>1814</v>
      </c>
      <c r="D1998" s="1" t="str">
        <f>IFERROR(__xludf.DUMMYFUNCTION("GOOGLETRANSLATE(C1998, ""zh-CN"", ""en"")"),"Xiamen City")</f>
        <v>Xiamen City</v>
      </c>
      <c r="E1998" s="1" t="s">
        <v>1839</v>
      </c>
      <c r="F1998" s="1" t="str">
        <f>IFERROR(__xludf.DUMMYFUNCTION("GOOGLETRANSLATE(E1998, ""zh-CN"", ""en"")"),"Xiang'an District")</f>
        <v>Xiang'an District</v>
      </c>
      <c r="G1998" s="1">
        <v>3.50213E11</v>
      </c>
    </row>
    <row r="1999">
      <c r="A1999" s="1" t="s">
        <v>1812</v>
      </c>
      <c r="B1999" s="1" t="str">
        <f>IFERROR(__xludf.DUMMYFUNCTION("GOOGLETRANSLATE(A1925, ""zh-CN"", ""en"")"),"Jiangsu Province")</f>
        <v>Jiangsu Province</v>
      </c>
      <c r="C1999" s="1" t="s">
        <v>1815</v>
      </c>
      <c r="D1999" s="1" t="str">
        <f>IFERROR(__xludf.DUMMYFUNCTION("GOOGLETRANSLATE(C1999, ""zh-CN"", ""en"")"),"Putian City")</f>
        <v>Putian City</v>
      </c>
      <c r="E1999" s="1" t="s">
        <v>24</v>
      </c>
      <c r="F1999" s="1" t="str">
        <f>IFERROR(__xludf.DUMMYFUNCTION("GOOGLETRANSLATE(E1999, ""zh-CN"", ""en"")"),"City area")</f>
        <v>City area</v>
      </c>
      <c r="G1999" s="1">
        <v>3.50301E11</v>
      </c>
    </row>
    <row r="2000">
      <c r="A2000" s="1" t="s">
        <v>1812</v>
      </c>
      <c r="B2000" s="1" t="str">
        <f>IFERROR(__xludf.DUMMYFUNCTION("GOOGLETRANSLATE(A1926, ""zh-CN"", ""en"")"),"Jiangsu Province")</f>
        <v>Jiangsu Province</v>
      </c>
      <c r="C2000" s="1" t="s">
        <v>1815</v>
      </c>
      <c r="D2000" s="1" t="str">
        <f>IFERROR(__xludf.DUMMYFUNCTION("GOOGLETRANSLATE(C2000, ""zh-CN"", ""en"")"),"Putian City")</f>
        <v>Putian City</v>
      </c>
      <c r="E2000" s="1" t="s">
        <v>1840</v>
      </c>
      <c r="F2000" s="1" t="str">
        <f>IFERROR(__xludf.DUMMYFUNCTION("GOOGLETRANSLATE(E2000, ""zh-CN"", ""en"")"),"City compartment area")</f>
        <v>City compartment area</v>
      </c>
      <c r="G2000" s="1">
        <v>3.50302E11</v>
      </c>
    </row>
    <row r="2001">
      <c r="A2001" s="1" t="s">
        <v>1812</v>
      </c>
      <c r="B2001" s="1" t="str">
        <f>IFERROR(__xludf.DUMMYFUNCTION("GOOGLETRANSLATE(A1927, ""zh-CN"", ""en"")"),"Jiangsu Province")</f>
        <v>Jiangsu Province</v>
      </c>
      <c r="C2001" s="1" t="s">
        <v>1815</v>
      </c>
      <c r="D2001" s="1" t="str">
        <f>IFERROR(__xludf.DUMMYFUNCTION("GOOGLETRANSLATE(C2001, ""zh-CN"", ""en"")"),"Putian City")</f>
        <v>Putian City</v>
      </c>
      <c r="E2001" s="1" t="s">
        <v>1841</v>
      </c>
      <c r="F2001" s="1" t="str">
        <f>IFERROR(__xludf.DUMMYFUNCTION("GOOGLETRANSLATE(E2001, ""zh-CN"", ""en"")"),"Hanjiang District")</f>
        <v>Hanjiang District</v>
      </c>
      <c r="G2001" s="1">
        <v>3.50303E11</v>
      </c>
    </row>
    <row r="2002">
      <c r="A2002" s="1" t="s">
        <v>1812</v>
      </c>
      <c r="B2002" s="1" t="str">
        <f>IFERROR(__xludf.DUMMYFUNCTION("GOOGLETRANSLATE(A1928, ""zh-CN"", ""en"")"),"Jiangsu Province")</f>
        <v>Jiangsu Province</v>
      </c>
      <c r="C2002" s="1" t="s">
        <v>1815</v>
      </c>
      <c r="D2002" s="1" t="str">
        <f>IFERROR(__xludf.DUMMYFUNCTION("GOOGLETRANSLATE(C2002, ""zh-CN"", ""en"")"),"Putian City")</f>
        <v>Putian City</v>
      </c>
      <c r="E2002" s="1" t="s">
        <v>1842</v>
      </c>
      <c r="F2002" s="1" t="str">
        <f>IFERROR(__xludf.DUMMYFUNCTION("GOOGLETRANSLATE(E2002, ""zh-CN"", ""en"")"),"Licheng District")</f>
        <v>Licheng District</v>
      </c>
      <c r="G2002" s="1">
        <v>3.50304E11</v>
      </c>
    </row>
    <row r="2003">
      <c r="A2003" s="1" t="s">
        <v>1812</v>
      </c>
      <c r="B2003" s="1" t="str">
        <f>IFERROR(__xludf.DUMMYFUNCTION("GOOGLETRANSLATE(A1929, ""zh-CN"", ""en"")"),"Jiangsu Province")</f>
        <v>Jiangsu Province</v>
      </c>
      <c r="C2003" s="1" t="s">
        <v>1815</v>
      </c>
      <c r="D2003" s="1" t="str">
        <f>IFERROR(__xludf.DUMMYFUNCTION("GOOGLETRANSLATE(C2003, ""zh-CN"", ""en"")"),"Putian City")</f>
        <v>Putian City</v>
      </c>
      <c r="E2003" s="1" t="s">
        <v>1843</v>
      </c>
      <c r="F2003" s="1" t="str">
        <f>IFERROR(__xludf.DUMMYFUNCTION("GOOGLETRANSLATE(E2003, ""zh-CN"", ""en"")"),"Xiuyu District")</f>
        <v>Xiuyu District</v>
      </c>
      <c r="G2003" s="1">
        <v>3.50305E11</v>
      </c>
    </row>
    <row r="2004">
      <c r="A2004" s="1" t="s">
        <v>1812</v>
      </c>
      <c r="B2004" s="1" t="str">
        <f>IFERROR(__xludf.DUMMYFUNCTION("GOOGLETRANSLATE(A1930, ""zh-CN"", ""en"")"),"Jiangsu Province")</f>
        <v>Jiangsu Province</v>
      </c>
      <c r="C2004" s="1" t="s">
        <v>1815</v>
      </c>
      <c r="D2004" s="1" t="str">
        <f>IFERROR(__xludf.DUMMYFUNCTION("GOOGLETRANSLATE(C2004, ""zh-CN"", ""en"")"),"Putian City")</f>
        <v>Putian City</v>
      </c>
      <c r="E2004" s="1" t="s">
        <v>1844</v>
      </c>
      <c r="F2004" s="1" t="str">
        <f>IFERROR(__xludf.DUMMYFUNCTION("GOOGLETRANSLATE(E2004, ""zh-CN"", ""en"")"),"Xianyou County")</f>
        <v>Xianyou County</v>
      </c>
      <c r="G2004" s="1">
        <v>3.50322E11</v>
      </c>
    </row>
    <row r="2005">
      <c r="A2005" s="1" t="s">
        <v>1812</v>
      </c>
      <c r="B2005" s="1" t="str">
        <f>IFERROR(__xludf.DUMMYFUNCTION("GOOGLETRANSLATE(A1931, ""zh-CN"", ""en"")"),"Jiangsu Province")</f>
        <v>Jiangsu Province</v>
      </c>
      <c r="C2005" s="1" t="s">
        <v>1816</v>
      </c>
      <c r="D2005" s="1" t="str">
        <f>IFERROR(__xludf.DUMMYFUNCTION("GOOGLETRANSLATE(C2005, ""zh-CN"", ""en"")"),"Sanming")</f>
        <v>Sanming</v>
      </c>
      <c r="E2005" s="1" t="s">
        <v>24</v>
      </c>
      <c r="F2005" s="1" t="str">
        <f>IFERROR(__xludf.DUMMYFUNCTION("GOOGLETRANSLATE(E2005, ""zh-CN"", ""en"")"),"City area")</f>
        <v>City area</v>
      </c>
      <c r="G2005" s="1">
        <v>3.50401E11</v>
      </c>
    </row>
    <row r="2006">
      <c r="A2006" s="1" t="s">
        <v>1812</v>
      </c>
      <c r="B2006" s="1" t="str">
        <f>IFERROR(__xludf.DUMMYFUNCTION("GOOGLETRANSLATE(A1932, ""zh-CN"", ""en"")"),"Jiangsu Province")</f>
        <v>Jiangsu Province</v>
      </c>
      <c r="C2006" s="1" t="s">
        <v>1816</v>
      </c>
      <c r="D2006" s="1" t="str">
        <f>IFERROR(__xludf.DUMMYFUNCTION("GOOGLETRANSLATE(C2006, ""zh-CN"", ""en"")"),"Sanming")</f>
        <v>Sanming</v>
      </c>
      <c r="E2006" s="1" t="s">
        <v>1845</v>
      </c>
      <c r="F2006" s="1" t="str">
        <f>IFERROR(__xludf.DUMMYFUNCTION("GOOGLETRANSLATE(E2006, ""zh-CN"", ""en"")"),"Three yuan district")</f>
        <v>Three yuan district</v>
      </c>
      <c r="G2006" s="1">
        <v>3.50404E11</v>
      </c>
    </row>
    <row r="2007">
      <c r="A2007" s="1" t="s">
        <v>1812</v>
      </c>
      <c r="B2007" s="1" t="str">
        <f>IFERROR(__xludf.DUMMYFUNCTION("GOOGLETRANSLATE(A1933, ""zh-CN"", ""en"")"),"Jiangsu Province")</f>
        <v>Jiangsu Province</v>
      </c>
      <c r="C2007" s="1" t="s">
        <v>1816</v>
      </c>
      <c r="D2007" s="1" t="str">
        <f>IFERROR(__xludf.DUMMYFUNCTION("GOOGLETRANSLATE(C2007, ""zh-CN"", ""en"")"),"Sanming")</f>
        <v>Sanming</v>
      </c>
      <c r="E2007" s="1" t="s">
        <v>1846</v>
      </c>
      <c r="F2007" s="1" t="str">
        <f>IFERROR(__xludf.DUMMYFUNCTION("GOOGLETRANSLATE(E2007, ""zh-CN"", ""en"")"),"Shaxian County")</f>
        <v>Shaxian County</v>
      </c>
      <c r="G2007" s="1">
        <v>3.50405E11</v>
      </c>
    </row>
    <row r="2008">
      <c r="A2008" s="1" t="s">
        <v>1812</v>
      </c>
      <c r="B2008" s="1" t="str">
        <f>IFERROR(__xludf.DUMMYFUNCTION("GOOGLETRANSLATE(A1934, ""zh-CN"", ""en"")"),"Jiangsu Province")</f>
        <v>Jiangsu Province</v>
      </c>
      <c r="C2008" s="1" t="s">
        <v>1816</v>
      </c>
      <c r="D2008" s="1" t="str">
        <f>IFERROR(__xludf.DUMMYFUNCTION("GOOGLETRANSLATE(C2008, ""zh-CN"", ""en"")"),"Sanming")</f>
        <v>Sanming</v>
      </c>
      <c r="E2008" s="1" t="s">
        <v>1847</v>
      </c>
      <c r="F2008" s="1" t="str">
        <f>IFERROR(__xludf.DUMMYFUNCTION("GOOGLETRANSLATE(E2008, ""zh-CN"", ""en"")"),"Mingxi County")</f>
        <v>Mingxi County</v>
      </c>
      <c r="G2008" s="1">
        <v>3.50421E11</v>
      </c>
    </row>
    <row r="2009">
      <c r="A2009" s="1" t="s">
        <v>1812</v>
      </c>
      <c r="B2009" s="1" t="str">
        <f>IFERROR(__xludf.DUMMYFUNCTION("GOOGLETRANSLATE(A1935, ""zh-CN"", ""en"")"),"Jiangsu Province")</f>
        <v>Jiangsu Province</v>
      </c>
      <c r="C2009" s="1" t="s">
        <v>1816</v>
      </c>
      <c r="D2009" s="1" t="str">
        <f>IFERROR(__xludf.DUMMYFUNCTION("GOOGLETRANSLATE(C2009, ""zh-CN"", ""en"")"),"Sanming")</f>
        <v>Sanming</v>
      </c>
      <c r="E2009" s="1" t="s">
        <v>1848</v>
      </c>
      <c r="F2009" s="1" t="str">
        <f>IFERROR(__xludf.DUMMYFUNCTION("GOOGLETRANSLATE(E2009, ""zh-CN"", ""en"")"),"Qingliu County")</f>
        <v>Qingliu County</v>
      </c>
      <c r="G2009" s="1">
        <v>3.50423E11</v>
      </c>
    </row>
    <row r="2010">
      <c r="A2010" s="1" t="s">
        <v>1812</v>
      </c>
      <c r="B2010" s="1" t="str">
        <f>IFERROR(__xludf.DUMMYFUNCTION("GOOGLETRANSLATE(A1936, ""zh-CN"", ""en"")"),"Jiangsu Province")</f>
        <v>Jiangsu Province</v>
      </c>
      <c r="C2010" s="1" t="s">
        <v>1816</v>
      </c>
      <c r="D2010" s="1" t="str">
        <f>IFERROR(__xludf.DUMMYFUNCTION("GOOGLETRANSLATE(C2010, ""zh-CN"", ""en"")"),"Sanming")</f>
        <v>Sanming</v>
      </c>
      <c r="E2010" s="1" t="s">
        <v>1849</v>
      </c>
      <c r="F2010" s="1" t="str">
        <f>IFERROR(__xludf.DUMMYFUNCTION("GOOGLETRANSLATE(E2010, ""zh-CN"", ""en"")"),"Ninghua County")</f>
        <v>Ninghua County</v>
      </c>
      <c r="G2010" s="1">
        <v>3.50424E11</v>
      </c>
    </row>
    <row r="2011">
      <c r="A2011" s="1" t="s">
        <v>1812</v>
      </c>
      <c r="B2011" s="1" t="str">
        <f>IFERROR(__xludf.DUMMYFUNCTION("GOOGLETRANSLATE(A1937, ""zh-CN"", ""en"")"),"Jiangsu Province")</f>
        <v>Jiangsu Province</v>
      </c>
      <c r="C2011" s="1" t="s">
        <v>1816</v>
      </c>
      <c r="D2011" s="1" t="str">
        <f>IFERROR(__xludf.DUMMYFUNCTION("GOOGLETRANSLATE(C2011, ""zh-CN"", ""en"")"),"Sanming")</f>
        <v>Sanming</v>
      </c>
      <c r="E2011" s="1" t="s">
        <v>1850</v>
      </c>
      <c r="F2011" s="1" t="str">
        <f>IFERROR(__xludf.DUMMYFUNCTION("GOOGLETRANSLATE(E2011, ""zh-CN"", ""en"")"),"Datian County")</f>
        <v>Datian County</v>
      </c>
      <c r="G2011" s="1">
        <v>3.50425E11</v>
      </c>
    </row>
    <row r="2012">
      <c r="A2012" s="1" t="s">
        <v>1812</v>
      </c>
      <c r="B2012" s="1" t="str">
        <f>IFERROR(__xludf.DUMMYFUNCTION("GOOGLETRANSLATE(A1938, ""zh-CN"", ""en"")"),"Jiangsu Province")</f>
        <v>Jiangsu Province</v>
      </c>
      <c r="C2012" s="1" t="s">
        <v>1816</v>
      </c>
      <c r="D2012" s="1" t="str">
        <f>IFERROR(__xludf.DUMMYFUNCTION("GOOGLETRANSLATE(C2012, ""zh-CN"", ""en"")"),"Sanming")</f>
        <v>Sanming</v>
      </c>
      <c r="E2012" s="1" t="s">
        <v>1851</v>
      </c>
      <c r="F2012" s="1" t="str">
        <f>IFERROR(__xludf.DUMMYFUNCTION("GOOGLETRANSLATE(E2012, ""zh-CN"", ""en"")"),"Youxi County")</f>
        <v>Youxi County</v>
      </c>
      <c r="G2012" s="1">
        <v>3.50426E11</v>
      </c>
    </row>
    <row r="2013">
      <c r="A2013" s="1" t="s">
        <v>1812</v>
      </c>
      <c r="B2013" s="1" t="str">
        <f>IFERROR(__xludf.DUMMYFUNCTION("GOOGLETRANSLATE(A1939, ""zh-CN"", ""en"")"),"Jiangsu Province")</f>
        <v>Jiangsu Province</v>
      </c>
      <c r="C2013" s="1" t="s">
        <v>1816</v>
      </c>
      <c r="D2013" s="1" t="str">
        <f>IFERROR(__xludf.DUMMYFUNCTION("GOOGLETRANSLATE(C2013, ""zh-CN"", ""en"")"),"Sanming")</f>
        <v>Sanming</v>
      </c>
      <c r="E2013" s="1" t="s">
        <v>1852</v>
      </c>
      <c r="F2013" s="1" t="str">
        <f>IFERROR(__xludf.DUMMYFUNCTION("GOOGLETRANSLATE(E2013, ""zh-CN"", ""en"")"),"Ji Le County")</f>
        <v>Ji Le County</v>
      </c>
      <c r="G2013" s="1">
        <v>3.50428E11</v>
      </c>
    </row>
    <row r="2014">
      <c r="A2014" s="1" t="s">
        <v>1812</v>
      </c>
      <c r="B2014" s="1" t="str">
        <f>IFERROR(__xludf.DUMMYFUNCTION("GOOGLETRANSLATE(A1940, ""zh-CN"", ""en"")"),"Jiangsu Province")</f>
        <v>Jiangsu Province</v>
      </c>
      <c r="C2014" s="1" t="s">
        <v>1816</v>
      </c>
      <c r="D2014" s="1" t="str">
        <f>IFERROR(__xludf.DUMMYFUNCTION("GOOGLETRANSLATE(C2014, ""zh-CN"", ""en"")"),"Sanming")</f>
        <v>Sanming</v>
      </c>
      <c r="E2014" s="1" t="s">
        <v>1853</v>
      </c>
      <c r="F2014" s="1" t="str">
        <f>IFERROR(__xludf.DUMMYFUNCTION("GOOGLETRANSLATE(E2014, ""zh-CN"", ""en"")"),"Taining County")</f>
        <v>Taining County</v>
      </c>
      <c r="G2014" s="1">
        <v>3.50429E11</v>
      </c>
    </row>
    <row r="2015">
      <c r="A2015" s="1" t="s">
        <v>1812</v>
      </c>
      <c r="B2015" s="1" t="str">
        <f>IFERROR(__xludf.DUMMYFUNCTION("GOOGLETRANSLATE(A1941, ""zh-CN"", ""en"")"),"Jiangsu Province")</f>
        <v>Jiangsu Province</v>
      </c>
      <c r="C2015" s="1" t="s">
        <v>1816</v>
      </c>
      <c r="D2015" s="1" t="str">
        <f>IFERROR(__xludf.DUMMYFUNCTION("GOOGLETRANSLATE(C2015, ""zh-CN"", ""en"")"),"Sanming")</f>
        <v>Sanming</v>
      </c>
      <c r="E2015" s="1" t="s">
        <v>1854</v>
      </c>
      <c r="F2015" s="1" t="str">
        <f>IFERROR(__xludf.DUMMYFUNCTION("GOOGLETRANSLATE(E2015, ""zh-CN"", ""en"")"),"Jianning County")</f>
        <v>Jianning County</v>
      </c>
      <c r="G2015" s="1">
        <v>3.5043E11</v>
      </c>
    </row>
    <row r="2016">
      <c r="A2016" s="1" t="s">
        <v>1812</v>
      </c>
      <c r="B2016" s="1" t="str">
        <f>IFERROR(__xludf.DUMMYFUNCTION("GOOGLETRANSLATE(A1942, ""zh-CN"", ""en"")"),"Jiangsu Province")</f>
        <v>Jiangsu Province</v>
      </c>
      <c r="C2016" s="1" t="s">
        <v>1816</v>
      </c>
      <c r="D2016" s="1" t="str">
        <f>IFERROR(__xludf.DUMMYFUNCTION("GOOGLETRANSLATE(C2016, ""zh-CN"", ""en"")"),"Sanming")</f>
        <v>Sanming</v>
      </c>
      <c r="E2016" s="1" t="s">
        <v>1855</v>
      </c>
      <c r="F2016" s="1" t="str">
        <f>IFERROR(__xludf.DUMMYFUNCTION("GOOGLETRANSLATE(E2016, ""zh-CN"", ""en"")"),"Yongan City")</f>
        <v>Yongan City</v>
      </c>
      <c r="G2016" s="1">
        <v>3.50481E11</v>
      </c>
    </row>
    <row r="2017">
      <c r="A2017" s="1" t="s">
        <v>1812</v>
      </c>
      <c r="B2017" s="1" t="str">
        <f>IFERROR(__xludf.DUMMYFUNCTION("GOOGLETRANSLATE(A1943, ""zh-CN"", ""en"")"),"Jiangsu Province")</f>
        <v>Jiangsu Province</v>
      </c>
      <c r="C2017" s="1" t="s">
        <v>1817</v>
      </c>
      <c r="D2017" s="1" t="str">
        <f>IFERROR(__xludf.DUMMYFUNCTION("GOOGLETRANSLATE(C2017, ""zh-CN"", ""en"")"),"Quanzhou")</f>
        <v>Quanzhou</v>
      </c>
      <c r="E2017" s="1" t="s">
        <v>24</v>
      </c>
      <c r="F2017" s="1" t="str">
        <f>IFERROR(__xludf.DUMMYFUNCTION("GOOGLETRANSLATE(E2017, ""zh-CN"", ""en"")"),"City area")</f>
        <v>City area</v>
      </c>
      <c r="G2017" s="1">
        <v>3.50501E11</v>
      </c>
    </row>
    <row r="2018">
      <c r="A2018" s="1" t="s">
        <v>1812</v>
      </c>
      <c r="B2018" s="1" t="str">
        <f>IFERROR(__xludf.DUMMYFUNCTION("GOOGLETRANSLATE(A1944, ""zh-CN"", ""en"")"),"Jiangsu Province")</f>
        <v>Jiangsu Province</v>
      </c>
      <c r="C2018" s="1" t="s">
        <v>1817</v>
      </c>
      <c r="D2018" s="1" t="str">
        <f>IFERROR(__xludf.DUMMYFUNCTION("GOOGLETRANSLATE(C2018, ""zh-CN"", ""en"")"),"Quanzhou")</f>
        <v>Quanzhou</v>
      </c>
      <c r="E2018" s="1" t="s">
        <v>1856</v>
      </c>
      <c r="F2018" s="1" t="str">
        <f>IFERROR(__xludf.DUMMYFUNCTION("GOOGLETRANSLATE(E2018, ""zh-CN"", ""en"")"),"Carp")</f>
        <v>Carp</v>
      </c>
      <c r="G2018" s="1">
        <v>3.50502E11</v>
      </c>
    </row>
    <row r="2019">
      <c r="A2019" s="1" t="s">
        <v>1812</v>
      </c>
      <c r="B2019" s="1" t="str">
        <f>IFERROR(__xludf.DUMMYFUNCTION("GOOGLETRANSLATE(A1945, ""zh-CN"", ""en"")"),"Jiangsu Province")</f>
        <v>Jiangsu Province</v>
      </c>
      <c r="C2019" s="1" t="s">
        <v>1817</v>
      </c>
      <c r="D2019" s="1" t="str">
        <f>IFERROR(__xludf.DUMMYFUNCTION("GOOGLETRANSLATE(C2019, ""zh-CN"", ""en"")"),"Quanzhou")</f>
        <v>Quanzhou</v>
      </c>
      <c r="E2019" s="1" t="s">
        <v>1857</v>
      </c>
      <c r="F2019" s="1" t="str">
        <f>IFERROR(__xludf.DUMMYFUNCTION("GOOGLETRANSLATE(E2019, ""zh-CN"", ""en"")"),"Fengze District")</f>
        <v>Fengze District</v>
      </c>
      <c r="G2019" s="1">
        <v>3.50503E11</v>
      </c>
    </row>
    <row r="2020">
      <c r="A2020" s="1" t="s">
        <v>1812</v>
      </c>
      <c r="B2020" s="1" t="str">
        <f>IFERROR(__xludf.DUMMYFUNCTION("GOOGLETRANSLATE(A1946, ""zh-CN"", ""en"")"),"Jiangsu Province")</f>
        <v>Jiangsu Province</v>
      </c>
      <c r="C2020" s="1" t="s">
        <v>1817</v>
      </c>
      <c r="D2020" s="1" t="str">
        <f>IFERROR(__xludf.DUMMYFUNCTION("GOOGLETRANSLATE(C2020, ""zh-CN"", ""en"")"),"Quanzhou")</f>
        <v>Quanzhou</v>
      </c>
      <c r="E2020" s="1" t="s">
        <v>1858</v>
      </c>
      <c r="F2020" s="1" t="str">
        <f>IFERROR(__xludf.DUMMYFUNCTION("GOOGLETRANSLATE(E2020, ""zh-CN"", ""en"")"),"Luojiang District")</f>
        <v>Luojiang District</v>
      </c>
      <c r="G2020" s="1">
        <v>3.50504E11</v>
      </c>
    </row>
    <row r="2021">
      <c r="A2021" s="1" t="s">
        <v>1812</v>
      </c>
      <c r="B2021" s="1" t="str">
        <f>IFERROR(__xludf.DUMMYFUNCTION("GOOGLETRANSLATE(A1947, ""zh-CN"", ""en"")"),"Jiangsu Province")</f>
        <v>Jiangsu Province</v>
      </c>
      <c r="C2021" s="1" t="s">
        <v>1817</v>
      </c>
      <c r="D2021" s="1" t="str">
        <f>IFERROR(__xludf.DUMMYFUNCTION("GOOGLETRANSLATE(C2021, ""zh-CN"", ""en"")"),"Quanzhou")</f>
        <v>Quanzhou</v>
      </c>
      <c r="E2021" s="1" t="s">
        <v>1859</v>
      </c>
      <c r="F2021" s="1" t="str">
        <f>IFERROR(__xludf.DUMMYFUNCTION("GOOGLETRANSLATE(E2021, ""zh-CN"", ""en"")"),"Quangang District")</f>
        <v>Quangang District</v>
      </c>
      <c r="G2021" s="1">
        <v>3.50505E11</v>
      </c>
    </row>
    <row r="2022">
      <c r="A2022" s="1" t="s">
        <v>1812</v>
      </c>
      <c r="B2022" s="1" t="str">
        <f>IFERROR(__xludf.DUMMYFUNCTION("GOOGLETRANSLATE(A1948, ""zh-CN"", ""en"")"),"Jiangsu Province")</f>
        <v>Jiangsu Province</v>
      </c>
      <c r="C2022" s="1" t="s">
        <v>1817</v>
      </c>
      <c r="D2022" s="1" t="str">
        <f>IFERROR(__xludf.DUMMYFUNCTION("GOOGLETRANSLATE(C2022, ""zh-CN"", ""en"")"),"Quanzhou")</f>
        <v>Quanzhou</v>
      </c>
      <c r="E2022" s="1" t="s">
        <v>1860</v>
      </c>
      <c r="F2022" s="1" t="str">
        <f>IFERROR(__xludf.DUMMYFUNCTION("GOOGLETRANSLATE(E2022, ""zh-CN"", ""en"")"),"Hui'an County")</f>
        <v>Hui'an County</v>
      </c>
      <c r="G2022" s="1">
        <v>3.50521E11</v>
      </c>
    </row>
    <row r="2023">
      <c r="A2023" s="1" t="s">
        <v>1812</v>
      </c>
      <c r="B2023" s="1" t="str">
        <f>IFERROR(__xludf.DUMMYFUNCTION("GOOGLETRANSLATE(A1949, ""zh-CN"", ""en"")"),"Jiangsu Province")</f>
        <v>Jiangsu Province</v>
      </c>
      <c r="C2023" s="1" t="s">
        <v>1817</v>
      </c>
      <c r="D2023" s="1" t="str">
        <f>IFERROR(__xludf.DUMMYFUNCTION("GOOGLETRANSLATE(C2023, ""zh-CN"", ""en"")"),"Quanzhou")</f>
        <v>Quanzhou</v>
      </c>
      <c r="E2023" s="1" t="s">
        <v>1861</v>
      </c>
      <c r="F2023" s="1" t="str">
        <f>IFERROR(__xludf.DUMMYFUNCTION("GOOGLETRANSLATE(E2023, ""zh-CN"", ""en"")"),"Anxi County")</f>
        <v>Anxi County</v>
      </c>
      <c r="G2023" s="1">
        <v>3.50524E11</v>
      </c>
    </row>
    <row r="2024">
      <c r="A2024" s="1" t="s">
        <v>1812</v>
      </c>
      <c r="B2024" s="1" t="str">
        <f>IFERROR(__xludf.DUMMYFUNCTION("GOOGLETRANSLATE(A1950, ""zh-CN"", ""en"")"),"Jiangsu Province")</f>
        <v>Jiangsu Province</v>
      </c>
      <c r="C2024" s="1" t="s">
        <v>1817</v>
      </c>
      <c r="D2024" s="1" t="str">
        <f>IFERROR(__xludf.DUMMYFUNCTION("GOOGLETRANSLATE(C2024, ""zh-CN"", ""en"")"),"Quanzhou")</f>
        <v>Quanzhou</v>
      </c>
      <c r="E2024" s="1" t="s">
        <v>1862</v>
      </c>
      <c r="F2024" s="1" t="str">
        <f>IFERROR(__xludf.DUMMYFUNCTION("GOOGLETRANSLATE(E2024, ""zh-CN"", ""en"")"),"Yongchun County")</f>
        <v>Yongchun County</v>
      </c>
      <c r="G2024" s="1">
        <v>3.50525E11</v>
      </c>
    </row>
    <row r="2025">
      <c r="A2025" s="1" t="s">
        <v>1812</v>
      </c>
      <c r="B2025" s="1" t="str">
        <f>IFERROR(__xludf.DUMMYFUNCTION("GOOGLETRANSLATE(A1951, ""zh-CN"", ""en"")"),"Jiangsu Province")</f>
        <v>Jiangsu Province</v>
      </c>
      <c r="C2025" s="1" t="s">
        <v>1817</v>
      </c>
      <c r="D2025" s="1" t="str">
        <f>IFERROR(__xludf.DUMMYFUNCTION("GOOGLETRANSLATE(C2025, ""zh-CN"", ""en"")"),"Quanzhou")</f>
        <v>Quanzhou</v>
      </c>
      <c r="E2025" s="1" t="s">
        <v>1863</v>
      </c>
      <c r="F2025" s="1" t="str">
        <f>IFERROR(__xludf.DUMMYFUNCTION("GOOGLETRANSLATE(E2025, ""zh-CN"", ""en"")"),"Dehua County")</f>
        <v>Dehua County</v>
      </c>
      <c r="G2025" s="1">
        <v>3.50526E11</v>
      </c>
    </row>
    <row r="2026">
      <c r="A2026" s="1" t="s">
        <v>1812</v>
      </c>
      <c r="B2026" s="1" t="str">
        <f>IFERROR(__xludf.DUMMYFUNCTION("GOOGLETRANSLATE(A1952, ""zh-CN"", ""en"")"),"Jiangsu Province")</f>
        <v>Jiangsu Province</v>
      </c>
      <c r="C2026" s="1" t="s">
        <v>1817</v>
      </c>
      <c r="D2026" s="1" t="str">
        <f>IFERROR(__xludf.DUMMYFUNCTION("GOOGLETRANSLATE(C2026, ""zh-CN"", ""en"")"),"Quanzhou")</f>
        <v>Quanzhou</v>
      </c>
      <c r="E2026" s="1" t="s">
        <v>1864</v>
      </c>
      <c r="F2026" s="1" t="str">
        <f>IFERROR(__xludf.DUMMYFUNCTION("GOOGLETRANSLATE(E2026, ""zh-CN"", ""en"")"),"Kinmen County")</f>
        <v>Kinmen County</v>
      </c>
      <c r="G2026" s="1">
        <v>3.50527E11</v>
      </c>
    </row>
    <row r="2027">
      <c r="A2027" s="1" t="s">
        <v>1812</v>
      </c>
      <c r="B2027" s="1" t="str">
        <f>IFERROR(__xludf.DUMMYFUNCTION("GOOGLETRANSLATE(A1953, ""zh-CN"", ""en"")"),"Jiangsu Province")</f>
        <v>Jiangsu Province</v>
      </c>
      <c r="C2027" s="1" t="s">
        <v>1817</v>
      </c>
      <c r="D2027" s="1" t="str">
        <f>IFERROR(__xludf.DUMMYFUNCTION("GOOGLETRANSLATE(C2027, ""zh-CN"", ""en"")"),"Quanzhou")</f>
        <v>Quanzhou</v>
      </c>
      <c r="E2027" s="1" t="s">
        <v>1865</v>
      </c>
      <c r="F2027" s="1" t="str">
        <f>IFERROR(__xludf.DUMMYFUNCTION("GOOGLETRANSLATE(E2027, ""zh-CN"", ""en"")"),"Shishi")</f>
        <v>Shishi</v>
      </c>
      <c r="G2027" s="1">
        <v>3.50581E11</v>
      </c>
    </row>
    <row r="2028">
      <c r="A2028" s="1" t="s">
        <v>1812</v>
      </c>
      <c r="B2028" s="1" t="str">
        <f>IFERROR(__xludf.DUMMYFUNCTION("GOOGLETRANSLATE(A1954, ""zh-CN"", ""en"")"),"Jiangsu Province")</f>
        <v>Jiangsu Province</v>
      </c>
      <c r="C2028" s="1" t="s">
        <v>1817</v>
      </c>
      <c r="D2028" s="1" t="str">
        <f>IFERROR(__xludf.DUMMYFUNCTION("GOOGLETRANSLATE(C2028, ""zh-CN"", ""en"")"),"Quanzhou")</f>
        <v>Quanzhou</v>
      </c>
      <c r="E2028" s="1" t="s">
        <v>1866</v>
      </c>
      <c r="F2028" s="1" t="str">
        <f>IFERROR(__xludf.DUMMYFUNCTION("GOOGLETRANSLATE(E2028, ""zh-CN"", ""en"")"),"Jinjiang City")</f>
        <v>Jinjiang City</v>
      </c>
      <c r="G2028" s="1">
        <v>3.50582E11</v>
      </c>
    </row>
    <row r="2029">
      <c r="A2029" s="1" t="s">
        <v>1812</v>
      </c>
      <c r="B2029" s="1" t="str">
        <f>IFERROR(__xludf.DUMMYFUNCTION("GOOGLETRANSLATE(A1955, ""zh-CN"", ""en"")"),"Jiangsu Province")</f>
        <v>Jiangsu Province</v>
      </c>
      <c r="C2029" s="1" t="s">
        <v>1817</v>
      </c>
      <c r="D2029" s="1" t="str">
        <f>IFERROR(__xludf.DUMMYFUNCTION("GOOGLETRANSLATE(C2029, ""zh-CN"", ""en"")"),"Quanzhou")</f>
        <v>Quanzhou</v>
      </c>
      <c r="E2029" s="1" t="s">
        <v>1867</v>
      </c>
      <c r="F2029" s="1" t="str">
        <f>IFERROR(__xludf.DUMMYFUNCTION("GOOGLETRANSLATE(E2029, ""zh-CN"", ""en"")"),"Nan'an City")</f>
        <v>Nan'an City</v>
      </c>
      <c r="G2029" s="1">
        <v>3.50583E11</v>
      </c>
    </row>
    <row r="2030">
      <c r="A2030" s="1" t="s">
        <v>1812</v>
      </c>
      <c r="B2030" s="1" t="str">
        <f>IFERROR(__xludf.DUMMYFUNCTION("GOOGLETRANSLATE(A1956, ""zh-CN"", ""en"")"),"Jiangsu Province")</f>
        <v>Jiangsu Province</v>
      </c>
      <c r="C2030" s="1" t="s">
        <v>1818</v>
      </c>
      <c r="D2030" s="1" t="str">
        <f>IFERROR(__xludf.DUMMYFUNCTION("GOOGLETRANSLATE(C2030, ""zh-CN"", ""en"")"),"Zhangzhou")</f>
        <v>Zhangzhou</v>
      </c>
      <c r="E2030" s="1" t="s">
        <v>24</v>
      </c>
      <c r="F2030" s="1" t="str">
        <f>IFERROR(__xludf.DUMMYFUNCTION("GOOGLETRANSLATE(E2030, ""zh-CN"", ""en"")"),"City area")</f>
        <v>City area</v>
      </c>
      <c r="G2030" s="1">
        <v>3.50601E11</v>
      </c>
    </row>
    <row r="2031">
      <c r="A2031" s="1" t="s">
        <v>1812</v>
      </c>
      <c r="B2031" s="1" t="str">
        <f>IFERROR(__xludf.DUMMYFUNCTION("GOOGLETRANSLATE(A1957, ""zh-CN"", ""en"")"),"Jiangsu Province")</f>
        <v>Jiangsu Province</v>
      </c>
      <c r="C2031" s="1" t="s">
        <v>1818</v>
      </c>
      <c r="D2031" s="1" t="str">
        <f>IFERROR(__xludf.DUMMYFUNCTION("GOOGLETRANSLATE(C2031, ""zh-CN"", ""en"")"),"Zhangzhou")</f>
        <v>Zhangzhou</v>
      </c>
      <c r="E2031" s="1" t="s">
        <v>1868</v>
      </c>
      <c r="F2031" s="1" t="str">
        <f>IFERROR(__xludf.DUMMYFUNCTION("GOOGLETRANSLATE(E2031, ""zh-CN"", ""en"")"),"Laocheng District")</f>
        <v>Laocheng District</v>
      </c>
      <c r="G2031" s="1">
        <v>3.50602E11</v>
      </c>
    </row>
    <row r="2032">
      <c r="A2032" s="1" t="s">
        <v>1812</v>
      </c>
      <c r="B2032" s="1" t="str">
        <f>IFERROR(__xludf.DUMMYFUNCTION("GOOGLETRANSLATE(A1958, ""zh-CN"", ""en"")"),"Jiangsu Province")</f>
        <v>Jiangsu Province</v>
      </c>
      <c r="C2032" s="1" t="s">
        <v>1818</v>
      </c>
      <c r="D2032" s="1" t="str">
        <f>IFERROR(__xludf.DUMMYFUNCTION("GOOGLETRANSLATE(C2032, ""zh-CN"", ""en"")"),"Zhangzhou")</f>
        <v>Zhangzhou</v>
      </c>
      <c r="E2032" s="1" t="s">
        <v>1869</v>
      </c>
      <c r="F2032" s="1" t="str">
        <f>IFERROR(__xludf.DUMMYFUNCTION("GOOGLETRANSLATE(E2032, ""zh-CN"", ""en"")"),"Longwen District")</f>
        <v>Longwen District</v>
      </c>
      <c r="G2032" s="1">
        <v>3.50603E11</v>
      </c>
    </row>
    <row r="2033">
      <c r="A2033" s="1" t="s">
        <v>1812</v>
      </c>
      <c r="B2033" s="1" t="str">
        <f>IFERROR(__xludf.DUMMYFUNCTION("GOOGLETRANSLATE(A1959, ""zh-CN"", ""en"")"),"Jiangsu Province")</f>
        <v>Jiangsu Province</v>
      </c>
      <c r="C2033" s="1" t="s">
        <v>1818</v>
      </c>
      <c r="D2033" s="1" t="str">
        <f>IFERROR(__xludf.DUMMYFUNCTION("GOOGLETRANSLATE(C2033, ""zh-CN"", ""en"")"),"Zhangzhou")</f>
        <v>Zhangzhou</v>
      </c>
      <c r="E2033" s="1" t="s">
        <v>1870</v>
      </c>
      <c r="F2033" s="1" t="str">
        <f>IFERROR(__xludf.DUMMYFUNCTION("GOOGLETRANSLATE(E2033, ""zh-CN"", ""en"")"),"Longhai District")</f>
        <v>Longhai District</v>
      </c>
      <c r="G2033" s="1">
        <v>3.50604E11</v>
      </c>
    </row>
    <row r="2034">
      <c r="A2034" s="1" t="s">
        <v>1812</v>
      </c>
      <c r="B2034" s="1" t="str">
        <f>IFERROR(__xludf.DUMMYFUNCTION("GOOGLETRANSLATE(A1960, ""zh-CN"", ""en"")"),"Jiangsu Province")</f>
        <v>Jiangsu Province</v>
      </c>
      <c r="C2034" s="1" t="s">
        <v>1818</v>
      </c>
      <c r="D2034" s="1" t="str">
        <f>IFERROR(__xludf.DUMMYFUNCTION("GOOGLETRANSLATE(C2034, ""zh-CN"", ""en"")"),"Zhangzhou")</f>
        <v>Zhangzhou</v>
      </c>
      <c r="E2034" s="1" t="s">
        <v>1871</v>
      </c>
      <c r="F2034" s="1" t="str">
        <f>IFERROR(__xludf.DUMMYFUNCTION("GOOGLETRANSLATE(E2034, ""zh-CN"", ""en"")"),"Changtai District")</f>
        <v>Changtai District</v>
      </c>
      <c r="G2034" s="1">
        <v>3.50605E11</v>
      </c>
    </row>
    <row r="2035">
      <c r="A2035" s="1" t="s">
        <v>1812</v>
      </c>
      <c r="B2035" s="1" t="str">
        <f>IFERROR(__xludf.DUMMYFUNCTION("GOOGLETRANSLATE(A1961, ""zh-CN"", ""en"")"),"Jiangsu Province")</f>
        <v>Jiangsu Province</v>
      </c>
      <c r="C2035" s="1" t="s">
        <v>1818</v>
      </c>
      <c r="D2035" s="1" t="str">
        <f>IFERROR(__xludf.DUMMYFUNCTION("GOOGLETRANSLATE(C2035, ""zh-CN"", ""en"")"),"Zhangzhou")</f>
        <v>Zhangzhou</v>
      </c>
      <c r="E2035" s="1" t="s">
        <v>1872</v>
      </c>
      <c r="F2035" s="1" t="str">
        <f>IFERROR(__xludf.DUMMYFUNCTION("GOOGLETRANSLATE(E2035, ""zh-CN"", ""en"")"),"Yunxiao County")</f>
        <v>Yunxiao County</v>
      </c>
      <c r="G2035" s="1">
        <v>3.50622E11</v>
      </c>
    </row>
    <row r="2036">
      <c r="A2036" s="1" t="s">
        <v>1812</v>
      </c>
      <c r="B2036" s="1" t="str">
        <f>IFERROR(__xludf.DUMMYFUNCTION("GOOGLETRANSLATE(A1962, ""zh-CN"", ""en"")"),"Jiangsu Province")</f>
        <v>Jiangsu Province</v>
      </c>
      <c r="C2036" s="1" t="s">
        <v>1818</v>
      </c>
      <c r="D2036" s="1" t="str">
        <f>IFERROR(__xludf.DUMMYFUNCTION("GOOGLETRANSLATE(C2036, ""zh-CN"", ""en"")"),"Zhangzhou")</f>
        <v>Zhangzhou</v>
      </c>
      <c r="E2036" s="1" t="s">
        <v>1873</v>
      </c>
      <c r="F2036" s="1" t="str">
        <f>IFERROR(__xludf.DUMMYFUNCTION("GOOGLETRANSLATE(E2036, ""zh-CN"", ""en"")"),"Zhangpu County")</f>
        <v>Zhangpu County</v>
      </c>
      <c r="G2036" s="1">
        <v>3.50623E11</v>
      </c>
    </row>
    <row r="2037">
      <c r="A2037" s="1" t="s">
        <v>1812</v>
      </c>
      <c r="B2037" s="1" t="str">
        <f>IFERROR(__xludf.DUMMYFUNCTION("GOOGLETRANSLATE(A1963, ""zh-CN"", ""en"")"),"Jiangsu Province")</f>
        <v>Jiangsu Province</v>
      </c>
      <c r="C2037" s="1" t="s">
        <v>1818</v>
      </c>
      <c r="D2037" s="1" t="str">
        <f>IFERROR(__xludf.DUMMYFUNCTION("GOOGLETRANSLATE(C2037, ""zh-CN"", ""en"")"),"Zhangzhou")</f>
        <v>Zhangzhou</v>
      </c>
      <c r="E2037" s="1" t="s">
        <v>1874</v>
      </c>
      <c r="F2037" s="1" t="str">
        <f>IFERROR(__xludf.DUMMYFUNCTION("GOOGLETRANSLATE(E2037, ""zh-CN"", ""en"")"),"Zu'an County")</f>
        <v>Zu'an County</v>
      </c>
      <c r="G2037" s="1">
        <v>3.50624E11</v>
      </c>
    </row>
    <row r="2038">
      <c r="A2038" s="1" t="s">
        <v>1812</v>
      </c>
      <c r="B2038" s="1" t="str">
        <f>IFERROR(__xludf.DUMMYFUNCTION("GOOGLETRANSLATE(A1964, ""zh-CN"", ""en"")"),"Jiangsu Province")</f>
        <v>Jiangsu Province</v>
      </c>
      <c r="C2038" s="1" t="s">
        <v>1818</v>
      </c>
      <c r="D2038" s="1" t="str">
        <f>IFERROR(__xludf.DUMMYFUNCTION("GOOGLETRANSLATE(C2038, ""zh-CN"", ""en"")"),"Zhangzhou")</f>
        <v>Zhangzhou</v>
      </c>
      <c r="E2038" s="1" t="s">
        <v>1875</v>
      </c>
      <c r="F2038" s="1" t="str">
        <f>IFERROR(__xludf.DUMMYFUNCTION("GOOGLETRANSLATE(E2038, ""zh-CN"", ""en"")"),"Dongshan County")</f>
        <v>Dongshan County</v>
      </c>
      <c r="G2038" s="1">
        <v>3.50626E11</v>
      </c>
    </row>
    <row r="2039">
      <c r="A2039" s="1" t="s">
        <v>1812</v>
      </c>
      <c r="B2039" s="1" t="str">
        <f>IFERROR(__xludf.DUMMYFUNCTION("GOOGLETRANSLATE(A1965, ""zh-CN"", ""en"")"),"Jiangsu Province")</f>
        <v>Jiangsu Province</v>
      </c>
      <c r="C2039" s="1" t="s">
        <v>1818</v>
      </c>
      <c r="D2039" s="1" t="str">
        <f>IFERROR(__xludf.DUMMYFUNCTION("GOOGLETRANSLATE(C2039, ""zh-CN"", ""en"")"),"Zhangzhou")</f>
        <v>Zhangzhou</v>
      </c>
      <c r="E2039" s="1" t="s">
        <v>1876</v>
      </c>
      <c r="F2039" s="1" t="str">
        <f>IFERROR(__xludf.DUMMYFUNCTION("GOOGLETRANSLATE(E2039, ""zh-CN"", ""en"")"),"Nanjing County")</f>
        <v>Nanjing County</v>
      </c>
      <c r="G2039" s="1">
        <v>3.50627E11</v>
      </c>
    </row>
    <row r="2040">
      <c r="A2040" s="1" t="s">
        <v>1812</v>
      </c>
      <c r="B2040" s="1" t="str">
        <f>IFERROR(__xludf.DUMMYFUNCTION("GOOGLETRANSLATE(A1966, ""zh-CN"", ""en"")"),"Jiangsu Province")</f>
        <v>Jiangsu Province</v>
      </c>
      <c r="C2040" s="1" t="s">
        <v>1818</v>
      </c>
      <c r="D2040" s="1" t="str">
        <f>IFERROR(__xludf.DUMMYFUNCTION("GOOGLETRANSLATE(C2040, ""zh-CN"", ""en"")"),"Zhangzhou")</f>
        <v>Zhangzhou</v>
      </c>
      <c r="E2040" s="1" t="s">
        <v>1877</v>
      </c>
      <c r="F2040" s="1" t="str">
        <f>IFERROR(__xludf.DUMMYFUNCTION("GOOGLETRANSLATE(E2040, ""zh-CN"", ""en"")"),"Pinghe County")</f>
        <v>Pinghe County</v>
      </c>
      <c r="G2040" s="1">
        <v>3.50628E11</v>
      </c>
    </row>
    <row r="2041">
      <c r="A2041" s="1" t="s">
        <v>1812</v>
      </c>
      <c r="B2041" s="1" t="str">
        <f>IFERROR(__xludf.DUMMYFUNCTION("GOOGLETRANSLATE(A1967, ""zh-CN"", ""en"")"),"Jiangsu Province")</f>
        <v>Jiangsu Province</v>
      </c>
      <c r="C2041" s="1" t="s">
        <v>1818</v>
      </c>
      <c r="D2041" s="1" t="str">
        <f>IFERROR(__xludf.DUMMYFUNCTION("GOOGLETRANSLATE(C2041, ""zh-CN"", ""en"")"),"Zhangzhou")</f>
        <v>Zhangzhou</v>
      </c>
      <c r="E2041" s="1" t="s">
        <v>1878</v>
      </c>
      <c r="F2041" s="1" t="str">
        <f>IFERROR(__xludf.DUMMYFUNCTION("GOOGLETRANSLATE(E2041, ""zh-CN"", ""en"")"),"Hua'an County")</f>
        <v>Hua'an County</v>
      </c>
      <c r="G2041" s="1">
        <v>3.50629E11</v>
      </c>
    </row>
    <row r="2042">
      <c r="A2042" s="1" t="s">
        <v>1812</v>
      </c>
      <c r="B2042" s="1" t="str">
        <f>IFERROR(__xludf.DUMMYFUNCTION("GOOGLETRANSLATE(A1968, ""zh-CN"", ""en"")"),"Fujian Province")</f>
        <v>Fujian Province</v>
      </c>
      <c r="C2042" s="1" t="s">
        <v>1819</v>
      </c>
      <c r="D2042" s="1" t="str">
        <f>IFERROR(__xludf.DUMMYFUNCTION("GOOGLETRANSLATE(C2042, ""zh-CN"", ""en"")"),"Nanping")</f>
        <v>Nanping</v>
      </c>
      <c r="E2042" s="1" t="s">
        <v>24</v>
      </c>
      <c r="F2042" s="1" t="str">
        <f>IFERROR(__xludf.DUMMYFUNCTION("GOOGLETRANSLATE(E2042, ""zh-CN"", ""en"")"),"City area")</f>
        <v>City area</v>
      </c>
      <c r="G2042" s="1">
        <v>3.50701E11</v>
      </c>
    </row>
    <row r="2043">
      <c r="A2043" s="1" t="s">
        <v>1812</v>
      </c>
      <c r="B2043" s="1" t="str">
        <f>IFERROR(__xludf.DUMMYFUNCTION("GOOGLETRANSLATE(A1969, ""zh-CN"", ""en"")"),"Fujian Province")</f>
        <v>Fujian Province</v>
      </c>
      <c r="C2043" s="1" t="s">
        <v>1819</v>
      </c>
      <c r="D2043" s="1" t="str">
        <f>IFERROR(__xludf.DUMMYFUNCTION("GOOGLETRANSLATE(C2043, ""zh-CN"", ""en"")"),"Nanping")</f>
        <v>Nanping</v>
      </c>
      <c r="E2043" s="1" t="s">
        <v>1879</v>
      </c>
      <c r="F2043" s="1" t="str">
        <f>IFERROR(__xludf.DUMMYFUNCTION("GOOGLETRANSLATE(E2043, ""zh-CN"", ""en"")"),"Yanping District")</f>
        <v>Yanping District</v>
      </c>
      <c r="G2043" s="1">
        <v>3.50702E11</v>
      </c>
    </row>
    <row r="2044">
      <c r="A2044" s="1" t="s">
        <v>1812</v>
      </c>
      <c r="B2044" s="1" t="str">
        <f>IFERROR(__xludf.DUMMYFUNCTION("GOOGLETRANSLATE(A1970, ""zh-CN"", ""en"")"),"Fujian Province")</f>
        <v>Fujian Province</v>
      </c>
      <c r="C2044" s="1" t="s">
        <v>1819</v>
      </c>
      <c r="D2044" s="1" t="str">
        <f>IFERROR(__xludf.DUMMYFUNCTION("GOOGLETRANSLATE(C2044, ""zh-CN"", ""en"")"),"Nanping")</f>
        <v>Nanping</v>
      </c>
      <c r="E2044" s="1" t="s">
        <v>1880</v>
      </c>
      <c r="F2044" s="1" t="str">
        <f>IFERROR(__xludf.DUMMYFUNCTION("GOOGLETRANSLATE(E2044, ""zh-CN"", ""en"")"),"Jianyang District")</f>
        <v>Jianyang District</v>
      </c>
      <c r="G2044" s="1">
        <v>3.50703E11</v>
      </c>
    </row>
    <row r="2045">
      <c r="A2045" s="1" t="s">
        <v>1812</v>
      </c>
      <c r="B2045" s="1" t="str">
        <f>IFERROR(__xludf.DUMMYFUNCTION("GOOGLETRANSLATE(A1971, ""zh-CN"", ""en"")"),"Fujian Province")</f>
        <v>Fujian Province</v>
      </c>
      <c r="C2045" s="1" t="s">
        <v>1819</v>
      </c>
      <c r="D2045" s="1" t="str">
        <f>IFERROR(__xludf.DUMMYFUNCTION("GOOGLETRANSLATE(C2045, ""zh-CN"", ""en"")"),"Nanping")</f>
        <v>Nanping</v>
      </c>
      <c r="E2045" s="1" t="s">
        <v>1881</v>
      </c>
      <c r="F2045" s="1" t="str">
        <f>IFERROR(__xludf.DUMMYFUNCTION("GOOGLETRANSLATE(E2045, ""zh-CN"", ""en"")"),"Shunchang County")</f>
        <v>Shunchang County</v>
      </c>
      <c r="G2045" s="1">
        <v>3.50721E11</v>
      </c>
    </row>
    <row r="2046">
      <c r="A2046" s="1" t="s">
        <v>1812</v>
      </c>
      <c r="B2046" s="1" t="str">
        <f>IFERROR(__xludf.DUMMYFUNCTION("GOOGLETRANSLATE(A1972, ""zh-CN"", ""en"")"),"Fujian Province")</f>
        <v>Fujian Province</v>
      </c>
      <c r="C2046" s="1" t="s">
        <v>1819</v>
      </c>
      <c r="D2046" s="1" t="str">
        <f>IFERROR(__xludf.DUMMYFUNCTION("GOOGLETRANSLATE(C2046, ""zh-CN"", ""en"")"),"Nanping")</f>
        <v>Nanping</v>
      </c>
      <c r="E2046" s="1" t="s">
        <v>1882</v>
      </c>
      <c r="F2046" s="1" t="str">
        <f>IFERROR(__xludf.DUMMYFUNCTION("GOOGLETRANSLATE(E2046, ""zh-CN"", ""en"")"),"Pucheng County")</f>
        <v>Pucheng County</v>
      </c>
      <c r="G2046" s="1">
        <v>3.50722E11</v>
      </c>
    </row>
    <row r="2047">
      <c r="A2047" s="1" t="s">
        <v>1812</v>
      </c>
      <c r="B2047" s="1" t="str">
        <f>IFERROR(__xludf.DUMMYFUNCTION("GOOGLETRANSLATE(A1973, ""zh-CN"", ""en"")"),"Fujian Province")</f>
        <v>Fujian Province</v>
      </c>
      <c r="C2047" s="1" t="s">
        <v>1819</v>
      </c>
      <c r="D2047" s="1" t="str">
        <f>IFERROR(__xludf.DUMMYFUNCTION("GOOGLETRANSLATE(C2047, ""zh-CN"", ""en"")"),"Nanping")</f>
        <v>Nanping</v>
      </c>
      <c r="E2047" s="1" t="s">
        <v>1883</v>
      </c>
      <c r="F2047" s="1" t="str">
        <f>IFERROR(__xludf.DUMMYFUNCTION("GOOGLETRANSLATE(E2047, ""zh-CN"", ""en"")"),"Glittering")</f>
        <v>Glittering</v>
      </c>
      <c r="G2047" s="1">
        <v>3.50723E11</v>
      </c>
    </row>
    <row r="2048">
      <c r="A2048" s="1" t="s">
        <v>1812</v>
      </c>
      <c r="B2048" s="1" t="str">
        <f>IFERROR(__xludf.DUMMYFUNCTION("GOOGLETRANSLATE(A1974, ""zh-CN"", ""en"")"),"Fujian Province")</f>
        <v>Fujian Province</v>
      </c>
      <c r="C2048" s="1" t="s">
        <v>1819</v>
      </c>
      <c r="D2048" s="1" t="str">
        <f>IFERROR(__xludf.DUMMYFUNCTION("GOOGLETRANSLATE(C2048, ""zh-CN"", ""en"")"),"Nanping")</f>
        <v>Nanping</v>
      </c>
      <c r="E2048" s="1" t="s">
        <v>1884</v>
      </c>
      <c r="F2048" s="1" t="str">
        <f>IFERROR(__xludf.DUMMYFUNCTION("GOOGLETRANSLATE(E2048, ""zh-CN"", ""en"")"),"Songxi County")</f>
        <v>Songxi County</v>
      </c>
      <c r="G2048" s="1">
        <v>3.50724E11</v>
      </c>
    </row>
    <row r="2049">
      <c r="A2049" s="1" t="s">
        <v>1812</v>
      </c>
      <c r="B2049" s="1" t="str">
        <f>IFERROR(__xludf.DUMMYFUNCTION("GOOGLETRANSLATE(A1975, ""zh-CN"", ""en"")"),"Fujian Province")</f>
        <v>Fujian Province</v>
      </c>
      <c r="C2049" s="1" t="s">
        <v>1819</v>
      </c>
      <c r="D2049" s="1" t="str">
        <f>IFERROR(__xludf.DUMMYFUNCTION("GOOGLETRANSLATE(C2049, ""zh-CN"", ""en"")"),"Nanping")</f>
        <v>Nanping</v>
      </c>
      <c r="E2049" s="1" t="s">
        <v>1885</v>
      </c>
      <c r="F2049" s="1" t="str">
        <f>IFERROR(__xludf.DUMMYFUNCTION("GOOGLETRANSLATE(E2049, ""zh-CN"", ""en"")"),"Zhenghe County")</f>
        <v>Zhenghe County</v>
      </c>
      <c r="G2049" s="1">
        <v>3.50725E11</v>
      </c>
    </row>
    <row r="2050">
      <c r="A2050" s="1" t="s">
        <v>1812</v>
      </c>
      <c r="B2050" s="1" t="str">
        <f>IFERROR(__xludf.DUMMYFUNCTION("GOOGLETRANSLATE(A1976, ""zh-CN"", ""en"")"),"Fujian Province")</f>
        <v>Fujian Province</v>
      </c>
      <c r="C2050" s="1" t="s">
        <v>1819</v>
      </c>
      <c r="D2050" s="1" t="str">
        <f>IFERROR(__xludf.DUMMYFUNCTION("GOOGLETRANSLATE(C2050, ""zh-CN"", ""en"")"),"Nanping")</f>
        <v>Nanping</v>
      </c>
      <c r="E2050" s="1" t="s">
        <v>1886</v>
      </c>
      <c r="F2050" s="1" t="str">
        <f>IFERROR(__xludf.DUMMYFUNCTION("GOOGLETRANSLATE(E2050, ""zh-CN"", ""en"")"),"Shawu City")</f>
        <v>Shawu City</v>
      </c>
      <c r="G2050" s="1">
        <v>3.50781E11</v>
      </c>
    </row>
    <row r="2051">
      <c r="A2051" s="1" t="s">
        <v>1812</v>
      </c>
      <c r="B2051" s="1" t="str">
        <f>IFERROR(__xludf.DUMMYFUNCTION("GOOGLETRANSLATE(A1977, ""zh-CN"", ""en"")"),"Fujian Province")</f>
        <v>Fujian Province</v>
      </c>
      <c r="C2051" s="1" t="s">
        <v>1819</v>
      </c>
      <c r="D2051" s="1" t="str">
        <f>IFERROR(__xludf.DUMMYFUNCTION("GOOGLETRANSLATE(C2051, ""zh-CN"", ""en"")"),"Nanping")</f>
        <v>Nanping</v>
      </c>
      <c r="E2051" s="1" t="s">
        <v>1887</v>
      </c>
      <c r="F2051" s="1" t="str">
        <f>IFERROR(__xludf.DUMMYFUNCTION("GOOGLETRANSLATE(E2051, ""zh-CN"", ""en"")"),"Wuyishan City")</f>
        <v>Wuyishan City</v>
      </c>
      <c r="G2051" s="1">
        <v>3.50782E11</v>
      </c>
    </row>
    <row r="2052">
      <c r="A2052" s="1" t="s">
        <v>1812</v>
      </c>
      <c r="B2052" s="1" t="str">
        <f>IFERROR(__xludf.DUMMYFUNCTION("GOOGLETRANSLATE(A1978, ""zh-CN"", ""en"")"),"Fujian Province")</f>
        <v>Fujian Province</v>
      </c>
      <c r="C2052" s="1" t="s">
        <v>1819</v>
      </c>
      <c r="D2052" s="1" t="str">
        <f>IFERROR(__xludf.DUMMYFUNCTION("GOOGLETRANSLATE(C2052, ""zh-CN"", ""en"")"),"Nanping")</f>
        <v>Nanping</v>
      </c>
      <c r="E2052" s="1" t="s">
        <v>1888</v>
      </c>
      <c r="F2052" s="1" t="str">
        <f>IFERROR(__xludf.DUMMYFUNCTION("GOOGLETRANSLATE(E2052, ""zh-CN"", ""en"")"),"Jian'ou City")</f>
        <v>Jian'ou City</v>
      </c>
      <c r="G2052" s="1">
        <v>3.50783E11</v>
      </c>
    </row>
    <row r="2053">
      <c r="A2053" s="1" t="s">
        <v>1812</v>
      </c>
      <c r="B2053" s="1" t="str">
        <f>IFERROR(__xludf.DUMMYFUNCTION("GOOGLETRANSLATE(A1979, ""zh-CN"", ""en"")"),"Fujian Province")</f>
        <v>Fujian Province</v>
      </c>
      <c r="C2053" s="1" t="s">
        <v>1820</v>
      </c>
      <c r="D2053" s="1" t="str">
        <f>IFERROR(__xludf.DUMMYFUNCTION("GOOGLETRANSLATE(C2053, ""zh-CN"", ""en"")"),"Longyan City")</f>
        <v>Longyan City</v>
      </c>
      <c r="E2053" s="1" t="s">
        <v>24</v>
      </c>
      <c r="F2053" s="1" t="str">
        <f>IFERROR(__xludf.DUMMYFUNCTION("GOOGLETRANSLATE(E2053, ""zh-CN"", ""en"")"),"City area")</f>
        <v>City area</v>
      </c>
      <c r="G2053" s="1">
        <v>3.50801E11</v>
      </c>
    </row>
    <row r="2054">
      <c r="A2054" s="1" t="s">
        <v>1812</v>
      </c>
      <c r="B2054" s="1" t="str">
        <f>IFERROR(__xludf.DUMMYFUNCTION("GOOGLETRANSLATE(A1980, ""zh-CN"", ""en"")"),"Fujian Province")</f>
        <v>Fujian Province</v>
      </c>
      <c r="C2054" s="1" t="s">
        <v>1820</v>
      </c>
      <c r="D2054" s="1" t="str">
        <f>IFERROR(__xludf.DUMMYFUNCTION("GOOGLETRANSLATE(C2054, ""zh-CN"", ""en"")"),"Longyan City")</f>
        <v>Longyan City</v>
      </c>
      <c r="E2054" s="1" t="s">
        <v>1889</v>
      </c>
      <c r="F2054" s="1" t="str">
        <f>IFERROR(__xludf.DUMMYFUNCTION("GOOGLETRANSLATE(E2054, ""zh-CN"", ""en"")"),"Silla")</f>
        <v>Silla</v>
      </c>
      <c r="G2054" s="1">
        <v>3.50802E11</v>
      </c>
    </row>
    <row r="2055">
      <c r="A2055" s="1" t="s">
        <v>1812</v>
      </c>
      <c r="B2055" s="1" t="str">
        <f>IFERROR(__xludf.DUMMYFUNCTION("GOOGLETRANSLATE(A1981, ""zh-CN"", ""en"")"),"Fujian Province")</f>
        <v>Fujian Province</v>
      </c>
      <c r="C2055" s="1" t="s">
        <v>1820</v>
      </c>
      <c r="D2055" s="1" t="str">
        <f>IFERROR(__xludf.DUMMYFUNCTION("GOOGLETRANSLATE(C2055, ""zh-CN"", ""en"")"),"Longyan City")</f>
        <v>Longyan City</v>
      </c>
      <c r="E2055" s="1" t="s">
        <v>408</v>
      </c>
      <c r="F2055" s="1" t="str">
        <f>IFERROR(__xludf.DUMMYFUNCTION("GOOGLETRANSLATE(E2055, ""zh-CN"", ""en"")"),"Yongding District")</f>
        <v>Yongding District</v>
      </c>
      <c r="G2055" s="1">
        <v>3.50803E11</v>
      </c>
    </row>
    <row r="2056">
      <c r="A2056" s="1" t="s">
        <v>1812</v>
      </c>
      <c r="B2056" s="1" t="str">
        <f>IFERROR(__xludf.DUMMYFUNCTION("GOOGLETRANSLATE(A1982, ""zh-CN"", ""en"")"),"Fujian Province")</f>
        <v>Fujian Province</v>
      </c>
      <c r="C2056" s="1" t="s">
        <v>1820</v>
      </c>
      <c r="D2056" s="1" t="str">
        <f>IFERROR(__xludf.DUMMYFUNCTION("GOOGLETRANSLATE(C2056, ""zh-CN"", ""en"")"),"Longyan City")</f>
        <v>Longyan City</v>
      </c>
      <c r="E2056" s="1" t="s">
        <v>1890</v>
      </c>
      <c r="F2056" s="1" t="str">
        <f>IFERROR(__xludf.DUMMYFUNCTION("GOOGLETRANSLATE(E2056, ""zh-CN"", ""en"")"),"Changting County")</f>
        <v>Changting County</v>
      </c>
      <c r="G2056" s="1">
        <v>3.50821E11</v>
      </c>
    </row>
    <row r="2057">
      <c r="A2057" s="1" t="s">
        <v>1812</v>
      </c>
      <c r="B2057" s="1" t="str">
        <f>IFERROR(__xludf.DUMMYFUNCTION("GOOGLETRANSLATE(A1983, ""zh-CN"", ""en"")"),"Fujian Province")</f>
        <v>Fujian Province</v>
      </c>
      <c r="C2057" s="1" t="s">
        <v>1820</v>
      </c>
      <c r="D2057" s="1" t="str">
        <f>IFERROR(__xludf.DUMMYFUNCTION("GOOGLETRANSLATE(C2057, ""zh-CN"", ""en"")"),"Longyan City")</f>
        <v>Longyan City</v>
      </c>
      <c r="E2057" s="1" t="s">
        <v>1891</v>
      </c>
      <c r="F2057" s="1" t="str">
        <f>IFERROR(__xludf.DUMMYFUNCTION("GOOGLETRANSLATE(E2057, ""zh-CN"", ""en"")"),"Shanghang County")</f>
        <v>Shanghang County</v>
      </c>
      <c r="G2057" s="1">
        <v>3.50823E11</v>
      </c>
    </row>
    <row r="2058">
      <c r="A2058" s="1" t="s">
        <v>1812</v>
      </c>
      <c r="B2058" s="1" t="str">
        <f>IFERROR(__xludf.DUMMYFUNCTION("GOOGLETRANSLATE(A1984, ""zh-CN"", ""en"")"),"Fujian Province")</f>
        <v>Fujian Province</v>
      </c>
      <c r="C2058" s="1" t="s">
        <v>1820</v>
      </c>
      <c r="D2058" s="1" t="str">
        <f>IFERROR(__xludf.DUMMYFUNCTION("GOOGLETRANSLATE(C2058, ""zh-CN"", ""en"")"),"Longyan City")</f>
        <v>Longyan City</v>
      </c>
      <c r="E2058" s="1" t="s">
        <v>1892</v>
      </c>
      <c r="F2058" s="1" t="str">
        <f>IFERROR(__xludf.DUMMYFUNCTION("GOOGLETRANSLATE(E2058, ""zh-CN"", ""en"")"),"Wu Ping County")</f>
        <v>Wu Ping County</v>
      </c>
      <c r="G2058" s="1">
        <v>3.50824E11</v>
      </c>
    </row>
    <row r="2059">
      <c r="A2059" s="1" t="s">
        <v>1812</v>
      </c>
      <c r="B2059" s="1" t="str">
        <f>IFERROR(__xludf.DUMMYFUNCTION("GOOGLETRANSLATE(A1985, ""zh-CN"", ""en"")"),"Fujian Province")</f>
        <v>Fujian Province</v>
      </c>
      <c r="C2059" s="1" t="s">
        <v>1820</v>
      </c>
      <c r="D2059" s="1" t="str">
        <f>IFERROR(__xludf.DUMMYFUNCTION("GOOGLETRANSLATE(C2059, ""zh-CN"", ""en"")"),"Longyan City")</f>
        <v>Longyan City</v>
      </c>
      <c r="E2059" s="1" t="s">
        <v>1893</v>
      </c>
      <c r="F2059" s="1" t="str">
        <f>IFERROR(__xludf.DUMMYFUNCTION("GOOGLETRANSLATE(E2059, ""zh-CN"", ""en"")"),"Liancheng County")</f>
        <v>Liancheng County</v>
      </c>
      <c r="G2059" s="1">
        <v>3.50825E11</v>
      </c>
    </row>
    <row r="2060">
      <c r="A2060" s="1" t="s">
        <v>1812</v>
      </c>
      <c r="B2060" s="1" t="str">
        <f>IFERROR(__xludf.DUMMYFUNCTION("GOOGLETRANSLATE(A1986, ""zh-CN"", ""en"")"),"Fujian Province")</f>
        <v>Fujian Province</v>
      </c>
      <c r="C2060" s="1" t="s">
        <v>1820</v>
      </c>
      <c r="D2060" s="1" t="str">
        <f>IFERROR(__xludf.DUMMYFUNCTION("GOOGLETRANSLATE(C2060, ""zh-CN"", ""en"")"),"Longyan City")</f>
        <v>Longyan City</v>
      </c>
      <c r="E2060" s="1" t="s">
        <v>1894</v>
      </c>
      <c r="F2060" s="1" t="str">
        <f>IFERROR(__xludf.DUMMYFUNCTION("GOOGLETRANSLATE(E2060, ""zh-CN"", ""en"")"),"Zhangping City")</f>
        <v>Zhangping City</v>
      </c>
      <c r="G2060" s="1">
        <v>3.50881E11</v>
      </c>
    </row>
    <row r="2061">
      <c r="A2061" s="1" t="s">
        <v>1812</v>
      </c>
      <c r="B2061" s="1" t="str">
        <f>IFERROR(__xludf.DUMMYFUNCTION("GOOGLETRANSLATE(A1987, ""zh-CN"", ""en"")"),"Fujian Province")</f>
        <v>Fujian Province</v>
      </c>
      <c r="C2061" s="1" t="s">
        <v>1821</v>
      </c>
      <c r="D2061" s="1" t="str">
        <f>IFERROR(__xludf.DUMMYFUNCTION("GOOGLETRANSLATE(C2061, ""zh-CN"", ""en"")"),"Ningde City")</f>
        <v>Ningde City</v>
      </c>
      <c r="E2061" s="1" t="s">
        <v>24</v>
      </c>
      <c r="F2061" s="1" t="str">
        <f>IFERROR(__xludf.DUMMYFUNCTION("GOOGLETRANSLATE(E2061, ""zh-CN"", ""en"")"),"City area")</f>
        <v>City area</v>
      </c>
      <c r="G2061" s="1">
        <v>3.50901E11</v>
      </c>
    </row>
    <row r="2062">
      <c r="A2062" s="1" t="s">
        <v>1812</v>
      </c>
      <c r="B2062" s="1" t="str">
        <f>IFERROR(__xludf.DUMMYFUNCTION("GOOGLETRANSLATE(A1988, ""zh-CN"", ""en"")"),"Fujian Province")</f>
        <v>Fujian Province</v>
      </c>
      <c r="C2062" s="1" t="s">
        <v>1821</v>
      </c>
      <c r="D2062" s="1" t="str">
        <f>IFERROR(__xludf.DUMMYFUNCTION("GOOGLETRANSLATE(C2062, ""zh-CN"", ""en"")"),"Ningde City")</f>
        <v>Ningde City</v>
      </c>
      <c r="E2062" s="1" t="s">
        <v>1895</v>
      </c>
      <c r="F2062" s="1" t="str">
        <f>IFERROR(__xludf.DUMMYFUNCTION("GOOGLETRANSLATE(E2062, ""zh-CN"", ""en"")"),"Jiaocheng District")</f>
        <v>Jiaocheng District</v>
      </c>
      <c r="G2062" s="1">
        <v>3.50902E11</v>
      </c>
    </row>
    <row r="2063">
      <c r="A2063" s="1" t="s">
        <v>1812</v>
      </c>
      <c r="B2063" s="1" t="str">
        <f>IFERROR(__xludf.DUMMYFUNCTION("GOOGLETRANSLATE(A1989, ""zh-CN"", ""en"")"),"Fujian Province")</f>
        <v>Fujian Province</v>
      </c>
      <c r="C2063" s="1" t="s">
        <v>1821</v>
      </c>
      <c r="D2063" s="1" t="str">
        <f>IFERROR(__xludf.DUMMYFUNCTION("GOOGLETRANSLATE(C2063, ""zh-CN"", ""en"")"),"Ningde City")</f>
        <v>Ningde City</v>
      </c>
      <c r="E2063" s="1" t="s">
        <v>1896</v>
      </c>
      <c r="F2063" s="1" t="str">
        <f>IFERROR(__xludf.DUMMYFUNCTION("GOOGLETRANSLATE(E2063, ""zh-CN"", ""en"")"),"Xiapu County")</f>
        <v>Xiapu County</v>
      </c>
      <c r="G2063" s="1">
        <v>3.50921E11</v>
      </c>
    </row>
    <row r="2064">
      <c r="A2064" s="1" t="s">
        <v>1812</v>
      </c>
      <c r="B2064" s="1" t="str">
        <f>IFERROR(__xludf.DUMMYFUNCTION("GOOGLETRANSLATE(A1990, ""zh-CN"", ""en"")"),"Fujian Province")</f>
        <v>Fujian Province</v>
      </c>
      <c r="C2064" s="1" t="s">
        <v>1821</v>
      </c>
      <c r="D2064" s="1" t="str">
        <f>IFERROR(__xludf.DUMMYFUNCTION("GOOGLETRANSLATE(C2064, ""zh-CN"", ""en"")"),"Ningde City")</f>
        <v>Ningde City</v>
      </c>
      <c r="E2064" s="1" t="s">
        <v>1897</v>
      </c>
      <c r="F2064" s="1" t="str">
        <f>IFERROR(__xludf.DUMMYFUNCTION("GOOGLETRANSLATE(E2064, ""zh-CN"", ""en"")"),"Gutian County")</f>
        <v>Gutian County</v>
      </c>
      <c r="G2064" s="1">
        <v>3.50922E11</v>
      </c>
    </row>
    <row r="2065">
      <c r="A2065" s="1" t="s">
        <v>1812</v>
      </c>
      <c r="B2065" s="1" t="str">
        <f>IFERROR(__xludf.DUMMYFUNCTION("GOOGLETRANSLATE(A1991, ""zh-CN"", ""en"")"),"Fujian Province")</f>
        <v>Fujian Province</v>
      </c>
      <c r="C2065" s="1" t="s">
        <v>1821</v>
      </c>
      <c r="D2065" s="1" t="str">
        <f>IFERROR(__xludf.DUMMYFUNCTION("GOOGLETRANSLATE(C2065, ""zh-CN"", ""en"")"),"Ningde City")</f>
        <v>Ningde City</v>
      </c>
      <c r="E2065" s="1" t="s">
        <v>1898</v>
      </c>
      <c r="F2065" s="1" t="str">
        <f>IFERROR(__xludf.DUMMYFUNCTION("GOOGLETRANSLATE(E2065, ""zh-CN"", ""en"")"),"Pingnan County")</f>
        <v>Pingnan County</v>
      </c>
      <c r="G2065" s="1">
        <v>3.50923E11</v>
      </c>
    </row>
    <row r="2066">
      <c r="A2066" s="1" t="s">
        <v>1812</v>
      </c>
      <c r="B2066" s="1" t="str">
        <f>IFERROR(__xludf.DUMMYFUNCTION("GOOGLETRANSLATE(A1992, ""zh-CN"", ""en"")"),"Fujian Province")</f>
        <v>Fujian Province</v>
      </c>
      <c r="C2066" s="1" t="s">
        <v>1821</v>
      </c>
      <c r="D2066" s="1" t="str">
        <f>IFERROR(__xludf.DUMMYFUNCTION("GOOGLETRANSLATE(C2066, ""zh-CN"", ""en"")"),"Ningde City")</f>
        <v>Ningde City</v>
      </c>
      <c r="E2066" s="1" t="s">
        <v>1899</v>
      </c>
      <c r="F2066" s="1" t="str">
        <f>IFERROR(__xludf.DUMMYFUNCTION("GOOGLETRANSLATE(E2066, ""zh-CN"", ""en"")"),"Shouning County")</f>
        <v>Shouning County</v>
      </c>
      <c r="G2066" s="1">
        <v>3.50924E11</v>
      </c>
    </row>
    <row r="2067">
      <c r="A2067" s="1" t="s">
        <v>1812</v>
      </c>
      <c r="B2067" s="1" t="str">
        <f>IFERROR(__xludf.DUMMYFUNCTION("GOOGLETRANSLATE(A1993, ""zh-CN"", ""en"")"),"Fujian Province")</f>
        <v>Fujian Province</v>
      </c>
      <c r="C2067" s="1" t="s">
        <v>1821</v>
      </c>
      <c r="D2067" s="1" t="str">
        <f>IFERROR(__xludf.DUMMYFUNCTION("GOOGLETRANSLATE(C2067, ""zh-CN"", ""en"")"),"Ningde City")</f>
        <v>Ningde City</v>
      </c>
      <c r="E2067" s="1" t="s">
        <v>1900</v>
      </c>
      <c r="F2067" s="1" t="str">
        <f>IFERROR(__xludf.DUMMYFUNCTION("GOOGLETRANSLATE(E2067, ""zh-CN"", ""en"")"),"Zhouning County")</f>
        <v>Zhouning County</v>
      </c>
      <c r="G2067" s="1">
        <v>3.50925E11</v>
      </c>
    </row>
    <row r="2068">
      <c r="A2068" s="1" t="s">
        <v>1812</v>
      </c>
      <c r="B2068" s="1" t="str">
        <f>IFERROR(__xludf.DUMMYFUNCTION("GOOGLETRANSLATE(A1994, ""zh-CN"", ""en"")"),"Fujian Province")</f>
        <v>Fujian Province</v>
      </c>
      <c r="C2068" s="1" t="s">
        <v>1821</v>
      </c>
      <c r="D2068" s="1" t="str">
        <f>IFERROR(__xludf.DUMMYFUNCTION("GOOGLETRANSLATE(C2068, ""zh-CN"", ""en"")"),"Ningde City")</f>
        <v>Ningde City</v>
      </c>
      <c r="E2068" s="1" t="s">
        <v>1901</v>
      </c>
      <c r="F2068" s="1" t="str">
        <f>IFERROR(__xludf.DUMMYFUNCTION("GOOGLETRANSLATE(E2068, ""zh-CN"", ""en"")"),"Dai Rong County")</f>
        <v>Dai Rong County</v>
      </c>
      <c r="G2068" s="1">
        <v>3.50926E11</v>
      </c>
    </row>
    <row r="2069">
      <c r="A2069" s="1" t="s">
        <v>1812</v>
      </c>
      <c r="B2069" s="1" t="str">
        <f>IFERROR(__xludf.DUMMYFUNCTION("GOOGLETRANSLATE(A1995, ""zh-CN"", ""en"")"),"Fujian Province")</f>
        <v>Fujian Province</v>
      </c>
      <c r="C2069" s="1" t="s">
        <v>1821</v>
      </c>
      <c r="D2069" s="1" t="str">
        <f>IFERROR(__xludf.DUMMYFUNCTION("GOOGLETRANSLATE(C2069, ""zh-CN"", ""en"")"),"Ningde City")</f>
        <v>Ningde City</v>
      </c>
      <c r="E2069" s="1" t="s">
        <v>1902</v>
      </c>
      <c r="F2069" s="1" t="str">
        <f>IFERROR(__xludf.DUMMYFUNCTION("GOOGLETRANSLATE(E2069, ""zh-CN"", ""en"")"),"Fu'an")</f>
        <v>Fu'an</v>
      </c>
      <c r="G2069" s="1">
        <v>3.50981E11</v>
      </c>
    </row>
    <row r="2070">
      <c r="A2070" s="1" t="s">
        <v>1812</v>
      </c>
      <c r="B2070" s="1" t="str">
        <f>IFERROR(__xludf.DUMMYFUNCTION("GOOGLETRANSLATE(A1996, ""zh-CN"", ""en"")"),"Fujian Province")</f>
        <v>Fujian Province</v>
      </c>
      <c r="C2070" s="1" t="s">
        <v>1821</v>
      </c>
      <c r="D2070" s="1" t="str">
        <f>IFERROR(__xludf.DUMMYFUNCTION("GOOGLETRANSLATE(C2070, ""zh-CN"", ""en"")"),"Ningde City")</f>
        <v>Ningde City</v>
      </c>
      <c r="E2070" s="1" t="s">
        <v>1903</v>
      </c>
      <c r="F2070" s="1" t="str">
        <f>IFERROR(__xludf.DUMMYFUNCTION("GOOGLETRANSLATE(E2070, ""zh-CN"", ""en"")"),"Fuding City")</f>
        <v>Fuding City</v>
      </c>
      <c r="G2070" s="1">
        <v>3.50982E11</v>
      </c>
    </row>
    <row r="2071">
      <c r="A2071" s="1" t="s">
        <v>1904</v>
      </c>
      <c r="B2071" s="1" t="str">
        <f>IFERROR(__xludf.DUMMYFUNCTION("GOOGLETRANSLATE(A1997, ""zh-CN"", ""en"")"),"Fujian Province")</f>
        <v>Fujian Province</v>
      </c>
      <c r="C2071" s="1" t="s">
        <v>8</v>
      </c>
      <c r="D2071" s="1" t="str">
        <f>IFERROR(__xludf.DUMMYFUNCTION("GOOGLETRANSLATE(C2071, ""zh-CN"", ""en"")"),"Na")</f>
        <v>Na</v>
      </c>
      <c r="E2071" s="1" t="s">
        <v>8</v>
      </c>
      <c r="F2071" s="1" t="str">
        <f>IFERROR(__xludf.DUMMYFUNCTION("GOOGLETRANSLATE(E2071, ""zh-CN"", ""en"")"),"Na")</f>
        <v>Na</v>
      </c>
      <c r="G2071" s="1">
        <v>51.0</v>
      </c>
    </row>
    <row r="2072">
      <c r="A2072" s="1" t="s">
        <v>1904</v>
      </c>
      <c r="B2072" s="1" t="str">
        <f>IFERROR(__xludf.DUMMYFUNCTION("GOOGLETRANSLATE(A1998, ""zh-CN"", ""en"")"),"Fujian Province")</f>
        <v>Fujian Province</v>
      </c>
      <c r="C2072" s="1" t="s">
        <v>1905</v>
      </c>
      <c r="D2072" s="1" t="str">
        <f>IFERROR(__xludf.DUMMYFUNCTION("GOOGLETRANSLATE(C2072, ""zh-CN"", ""en"")"),"Chengdu")</f>
        <v>Chengdu</v>
      </c>
      <c r="E2072" s="1" t="s">
        <v>8</v>
      </c>
      <c r="F2072" s="1" t="str">
        <f>IFERROR(__xludf.DUMMYFUNCTION("GOOGLETRANSLATE(E2072, ""zh-CN"", ""en"")"),"Na")</f>
        <v>Na</v>
      </c>
      <c r="G2072" s="1">
        <v>5.101E11</v>
      </c>
    </row>
    <row r="2073">
      <c r="A2073" s="1" t="s">
        <v>1904</v>
      </c>
      <c r="B2073" s="1" t="str">
        <f>IFERROR(__xludf.DUMMYFUNCTION("GOOGLETRANSLATE(A1999, ""zh-CN"", ""en"")"),"Fujian Province")</f>
        <v>Fujian Province</v>
      </c>
      <c r="C2073" s="1" t="s">
        <v>1906</v>
      </c>
      <c r="D2073" s="1" t="str">
        <f>IFERROR(__xludf.DUMMYFUNCTION("GOOGLETRANSLATE(C2073, ""zh-CN"", ""en"")"),"Zigong City")</f>
        <v>Zigong City</v>
      </c>
      <c r="E2073" s="1" t="s">
        <v>8</v>
      </c>
      <c r="F2073" s="1" t="str">
        <f>IFERROR(__xludf.DUMMYFUNCTION("GOOGLETRANSLATE(E2073, ""zh-CN"", ""en"")"),"Na")</f>
        <v>Na</v>
      </c>
      <c r="G2073" s="1">
        <v>5.103E11</v>
      </c>
    </row>
    <row r="2074">
      <c r="A2074" s="1" t="s">
        <v>1904</v>
      </c>
      <c r="B2074" s="1" t="str">
        <f>IFERROR(__xludf.DUMMYFUNCTION("GOOGLETRANSLATE(A2000, ""zh-CN"", ""en"")"),"Fujian Province")</f>
        <v>Fujian Province</v>
      </c>
      <c r="C2074" s="1" t="s">
        <v>1907</v>
      </c>
      <c r="D2074" s="1" t="str">
        <f>IFERROR(__xludf.DUMMYFUNCTION("GOOGLETRANSLATE(C2074, ""zh-CN"", ""en"")"),"Panzhihua City")</f>
        <v>Panzhihua City</v>
      </c>
      <c r="E2074" s="1" t="s">
        <v>8</v>
      </c>
      <c r="F2074" s="1" t="str">
        <f>IFERROR(__xludf.DUMMYFUNCTION("GOOGLETRANSLATE(E2074, ""zh-CN"", ""en"")"),"Na")</f>
        <v>Na</v>
      </c>
      <c r="G2074" s="1">
        <v>5.104E11</v>
      </c>
    </row>
    <row r="2075">
      <c r="A2075" s="1" t="s">
        <v>1904</v>
      </c>
      <c r="B2075" s="1" t="str">
        <f>IFERROR(__xludf.DUMMYFUNCTION("GOOGLETRANSLATE(A2001, ""zh-CN"", ""en"")"),"Fujian Province")</f>
        <v>Fujian Province</v>
      </c>
      <c r="C2075" s="1" t="s">
        <v>1908</v>
      </c>
      <c r="D2075" s="1" t="str">
        <f>IFERROR(__xludf.DUMMYFUNCTION("GOOGLETRANSLATE(C2075, ""zh-CN"", ""en"")"),"Luzhou")</f>
        <v>Luzhou</v>
      </c>
      <c r="E2075" s="1" t="s">
        <v>8</v>
      </c>
      <c r="F2075" s="1" t="str">
        <f>IFERROR(__xludf.DUMMYFUNCTION("GOOGLETRANSLATE(E2075, ""zh-CN"", ""en"")"),"Na")</f>
        <v>Na</v>
      </c>
      <c r="G2075" s="1">
        <v>5.105E11</v>
      </c>
    </row>
    <row r="2076">
      <c r="A2076" s="1" t="s">
        <v>1904</v>
      </c>
      <c r="B2076" s="1" t="str">
        <f>IFERROR(__xludf.DUMMYFUNCTION("GOOGLETRANSLATE(A2002, ""zh-CN"", ""en"")"),"Fujian Province")</f>
        <v>Fujian Province</v>
      </c>
      <c r="C2076" s="1" t="s">
        <v>1909</v>
      </c>
      <c r="D2076" s="1" t="str">
        <f>IFERROR(__xludf.DUMMYFUNCTION("GOOGLETRANSLATE(C2076, ""zh-CN"", ""en"")"),"Deyang City")</f>
        <v>Deyang City</v>
      </c>
      <c r="E2076" s="1" t="s">
        <v>8</v>
      </c>
      <c r="F2076" s="1" t="str">
        <f>IFERROR(__xludf.DUMMYFUNCTION("GOOGLETRANSLATE(E2076, ""zh-CN"", ""en"")"),"Na")</f>
        <v>Na</v>
      </c>
      <c r="G2076" s="1">
        <v>5.106E11</v>
      </c>
    </row>
    <row r="2077">
      <c r="A2077" s="1" t="s">
        <v>1904</v>
      </c>
      <c r="B2077" s="1" t="str">
        <f>IFERROR(__xludf.DUMMYFUNCTION("GOOGLETRANSLATE(A2003, ""zh-CN"", ""en"")"),"Fujian Province")</f>
        <v>Fujian Province</v>
      </c>
      <c r="C2077" s="1" t="s">
        <v>1910</v>
      </c>
      <c r="D2077" s="1" t="str">
        <f>IFERROR(__xludf.DUMMYFUNCTION("GOOGLETRANSLATE(C2077, ""zh-CN"", ""en"")"),"Mianyang City")</f>
        <v>Mianyang City</v>
      </c>
      <c r="E2077" s="1" t="s">
        <v>8</v>
      </c>
      <c r="F2077" s="1" t="str">
        <f>IFERROR(__xludf.DUMMYFUNCTION("GOOGLETRANSLATE(E2077, ""zh-CN"", ""en"")"),"Na")</f>
        <v>Na</v>
      </c>
      <c r="G2077" s="1">
        <v>5.107E11</v>
      </c>
    </row>
    <row r="2078">
      <c r="A2078" s="1" t="s">
        <v>1904</v>
      </c>
      <c r="B2078" s="1" t="str">
        <f>IFERROR(__xludf.DUMMYFUNCTION("GOOGLETRANSLATE(A2004, ""zh-CN"", ""en"")"),"Fujian Province")</f>
        <v>Fujian Province</v>
      </c>
      <c r="C2078" s="1" t="s">
        <v>1911</v>
      </c>
      <c r="D2078" s="1" t="str">
        <f>IFERROR(__xludf.DUMMYFUNCTION("GOOGLETRANSLATE(C2078, ""zh-CN"", ""en"")"),"Guangyuan City")</f>
        <v>Guangyuan City</v>
      </c>
      <c r="E2078" s="1" t="s">
        <v>8</v>
      </c>
      <c r="F2078" s="1" t="str">
        <f>IFERROR(__xludf.DUMMYFUNCTION("GOOGLETRANSLATE(E2078, ""zh-CN"", ""en"")"),"Na")</f>
        <v>Na</v>
      </c>
      <c r="G2078" s="1">
        <v>5.108E11</v>
      </c>
    </row>
    <row r="2079">
      <c r="A2079" s="1" t="s">
        <v>1904</v>
      </c>
      <c r="B2079" s="1" t="str">
        <f>IFERROR(__xludf.DUMMYFUNCTION("GOOGLETRANSLATE(A2005, ""zh-CN"", ""en"")"),"Fujian Province")</f>
        <v>Fujian Province</v>
      </c>
      <c r="C2079" s="1" t="s">
        <v>1912</v>
      </c>
      <c r="D2079" s="1" t="str">
        <f>IFERROR(__xludf.DUMMYFUNCTION("GOOGLETRANSLATE(C2079, ""zh-CN"", ""en"")"),"Suining")</f>
        <v>Suining</v>
      </c>
      <c r="E2079" s="1" t="s">
        <v>8</v>
      </c>
      <c r="F2079" s="1" t="str">
        <f>IFERROR(__xludf.DUMMYFUNCTION("GOOGLETRANSLATE(E2079, ""zh-CN"", ""en"")"),"Na")</f>
        <v>Na</v>
      </c>
      <c r="G2079" s="1">
        <v>5.109E11</v>
      </c>
    </row>
    <row r="2080">
      <c r="A2080" s="1" t="s">
        <v>1904</v>
      </c>
      <c r="B2080" s="1" t="str">
        <f>IFERROR(__xludf.DUMMYFUNCTION("GOOGLETRANSLATE(A2006, ""zh-CN"", ""en"")"),"Fujian Province")</f>
        <v>Fujian Province</v>
      </c>
      <c r="C2080" s="1" t="s">
        <v>1913</v>
      </c>
      <c r="D2080" s="1" t="str">
        <f>IFERROR(__xludf.DUMMYFUNCTION("GOOGLETRANSLATE(C2080, ""zh-CN"", ""en"")"),"Neijiang City")</f>
        <v>Neijiang City</v>
      </c>
      <c r="E2080" s="1" t="s">
        <v>8</v>
      </c>
      <c r="F2080" s="1" t="str">
        <f>IFERROR(__xludf.DUMMYFUNCTION("GOOGLETRANSLATE(E2080, ""zh-CN"", ""en"")"),"Na")</f>
        <v>Na</v>
      </c>
      <c r="G2080" s="1">
        <v>5.11E11</v>
      </c>
    </row>
    <row r="2081">
      <c r="A2081" s="1" t="s">
        <v>1904</v>
      </c>
      <c r="B2081" s="1" t="str">
        <f>IFERROR(__xludf.DUMMYFUNCTION("GOOGLETRANSLATE(A2007, ""zh-CN"", ""en"")"),"Fujian Province")</f>
        <v>Fujian Province</v>
      </c>
      <c r="C2081" s="1" t="s">
        <v>1914</v>
      </c>
      <c r="D2081" s="1" t="str">
        <f>IFERROR(__xludf.DUMMYFUNCTION("GOOGLETRANSLATE(C2081, ""zh-CN"", ""en"")"),"Leshan")</f>
        <v>Leshan</v>
      </c>
      <c r="E2081" s="1" t="s">
        <v>8</v>
      </c>
      <c r="F2081" s="1" t="str">
        <f>IFERROR(__xludf.DUMMYFUNCTION("GOOGLETRANSLATE(E2081, ""zh-CN"", ""en"")"),"Na")</f>
        <v>Na</v>
      </c>
      <c r="G2081" s="1">
        <v>5.111E11</v>
      </c>
    </row>
    <row r="2082">
      <c r="A2082" s="1" t="s">
        <v>1904</v>
      </c>
      <c r="B2082" s="1" t="str">
        <f>IFERROR(__xludf.DUMMYFUNCTION("GOOGLETRANSLATE(A2008, ""zh-CN"", ""en"")"),"Fujian Province")</f>
        <v>Fujian Province</v>
      </c>
      <c r="C2082" s="1" t="s">
        <v>1915</v>
      </c>
      <c r="D2082" s="1" t="str">
        <f>IFERROR(__xludf.DUMMYFUNCTION("GOOGLETRANSLATE(C2082, ""zh-CN"", ""en"")"),"Nanchong City")</f>
        <v>Nanchong City</v>
      </c>
      <c r="E2082" s="1" t="s">
        <v>8</v>
      </c>
      <c r="F2082" s="1" t="str">
        <f>IFERROR(__xludf.DUMMYFUNCTION("GOOGLETRANSLATE(E2082, ""zh-CN"", ""en"")"),"Na")</f>
        <v>Na</v>
      </c>
      <c r="G2082" s="1">
        <v>5.113E11</v>
      </c>
    </row>
    <row r="2083">
      <c r="A2083" s="1" t="s">
        <v>1904</v>
      </c>
      <c r="B2083" s="1" t="str">
        <f>IFERROR(__xludf.DUMMYFUNCTION("GOOGLETRANSLATE(A2009, ""zh-CN"", ""en"")"),"Fujian Province")</f>
        <v>Fujian Province</v>
      </c>
      <c r="C2083" s="1" t="s">
        <v>1916</v>
      </c>
      <c r="D2083" s="1" t="str">
        <f>IFERROR(__xludf.DUMMYFUNCTION("GOOGLETRANSLATE(C2083, ""zh-CN"", ""en"")"),"Meishan City")</f>
        <v>Meishan City</v>
      </c>
      <c r="E2083" s="1" t="s">
        <v>8</v>
      </c>
      <c r="F2083" s="1" t="str">
        <f>IFERROR(__xludf.DUMMYFUNCTION("GOOGLETRANSLATE(E2083, ""zh-CN"", ""en"")"),"Na")</f>
        <v>Na</v>
      </c>
      <c r="G2083" s="1">
        <v>5.114E11</v>
      </c>
    </row>
    <row r="2084">
      <c r="A2084" s="1" t="s">
        <v>1904</v>
      </c>
      <c r="B2084" s="1" t="str">
        <f>IFERROR(__xludf.DUMMYFUNCTION("GOOGLETRANSLATE(A2010, ""zh-CN"", ""en"")"),"Fujian Province")</f>
        <v>Fujian Province</v>
      </c>
      <c r="C2084" s="1" t="s">
        <v>1917</v>
      </c>
      <c r="D2084" s="1" t="str">
        <f>IFERROR(__xludf.DUMMYFUNCTION("GOOGLETRANSLATE(C2084, ""zh-CN"", ""en"")"),"Yibin City")</f>
        <v>Yibin City</v>
      </c>
      <c r="E2084" s="1" t="s">
        <v>8</v>
      </c>
      <c r="F2084" s="1" t="str">
        <f>IFERROR(__xludf.DUMMYFUNCTION("GOOGLETRANSLATE(E2084, ""zh-CN"", ""en"")"),"Na")</f>
        <v>Na</v>
      </c>
      <c r="G2084" s="1">
        <v>5.115E11</v>
      </c>
    </row>
    <row r="2085">
      <c r="A2085" s="1" t="s">
        <v>1904</v>
      </c>
      <c r="B2085" s="1" t="str">
        <f>IFERROR(__xludf.DUMMYFUNCTION("GOOGLETRANSLATE(A2011, ""zh-CN"", ""en"")"),"Fujian Province")</f>
        <v>Fujian Province</v>
      </c>
      <c r="C2085" s="1" t="s">
        <v>1918</v>
      </c>
      <c r="D2085" s="1" t="str">
        <f>IFERROR(__xludf.DUMMYFUNCTION("GOOGLETRANSLATE(C2085, ""zh-CN"", ""en"")"),"Guang'an City")</f>
        <v>Guang'an City</v>
      </c>
      <c r="E2085" s="1" t="s">
        <v>8</v>
      </c>
      <c r="F2085" s="1" t="str">
        <f>IFERROR(__xludf.DUMMYFUNCTION("GOOGLETRANSLATE(E2085, ""zh-CN"", ""en"")"),"Na")</f>
        <v>Na</v>
      </c>
      <c r="G2085" s="1">
        <v>5.116E11</v>
      </c>
    </row>
    <row r="2086">
      <c r="A2086" s="1" t="s">
        <v>1904</v>
      </c>
      <c r="B2086" s="1" t="str">
        <f>IFERROR(__xludf.DUMMYFUNCTION("GOOGLETRANSLATE(A2012, ""zh-CN"", ""en"")"),"Fujian Province")</f>
        <v>Fujian Province</v>
      </c>
      <c r="C2086" s="1" t="s">
        <v>1919</v>
      </c>
      <c r="D2086" s="1" t="str">
        <f>IFERROR(__xludf.DUMMYFUNCTION("GOOGLETRANSLATE(C2086, ""zh-CN"", ""en"")"),"Dazhou")</f>
        <v>Dazhou</v>
      </c>
      <c r="E2086" s="1" t="s">
        <v>8</v>
      </c>
      <c r="F2086" s="1" t="str">
        <f>IFERROR(__xludf.DUMMYFUNCTION("GOOGLETRANSLATE(E2086, ""zh-CN"", ""en"")"),"Na")</f>
        <v>Na</v>
      </c>
      <c r="G2086" s="1">
        <v>5.117E11</v>
      </c>
    </row>
    <row r="2087">
      <c r="A2087" s="1" t="s">
        <v>1904</v>
      </c>
      <c r="B2087" s="1" t="str">
        <f>IFERROR(__xludf.DUMMYFUNCTION("GOOGLETRANSLATE(A2013, ""zh-CN"", ""en"")"),"Fujian Province")</f>
        <v>Fujian Province</v>
      </c>
      <c r="C2087" s="1" t="s">
        <v>1920</v>
      </c>
      <c r="D2087" s="1" t="str">
        <f>IFERROR(__xludf.DUMMYFUNCTION("GOOGLETRANSLATE(C2087, ""zh-CN"", ""en"")"),"Ya'an city")</f>
        <v>Ya'an city</v>
      </c>
      <c r="E2087" s="1" t="s">
        <v>8</v>
      </c>
      <c r="F2087" s="1" t="str">
        <f>IFERROR(__xludf.DUMMYFUNCTION("GOOGLETRANSLATE(E2087, ""zh-CN"", ""en"")"),"Na")</f>
        <v>Na</v>
      </c>
      <c r="G2087" s="1">
        <v>5.118E11</v>
      </c>
    </row>
    <row r="2088">
      <c r="A2088" s="1" t="s">
        <v>1904</v>
      </c>
      <c r="B2088" s="1" t="str">
        <f>IFERROR(__xludf.DUMMYFUNCTION("GOOGLETRANSLATE(A2014, ""zh-CN"", ""en"")"),"Fujian Province")</f>
        <v>Fujian Province</v>
      </c>
      <c r="C2088" s="1" t="s">
        <v>1921</v>
      </c>
      <c r="D2088" s="1" t="str">
        <f>IFERROR(__xludf.DUMMYFUNCTION("GOOGLETRANSLATE(C2088, ""zh-CN"", ""en"")"),"Bazhong City")</f>
        <v>Bazhong City</v>
      </c>
      <c r="E2088" s="1" t="s">
        <v>8</v>
      </c>
      <c r="F2088" s="1" t="str">
        <f>IFERROR(__xludf.DUMMYFUNCTION("GOOGLETRANSLATE(E2088, ""zh-CN"", ""en"")"),"Na")</f>
        <v>Na</v>
      </c>
      <c r="G2088" s="1">
        <v>5.119E11</v>
      </c>
    </row>
    <row r="2089">
      <c r="A2089" s="1" t="s">
        <v>1904</v>
      </c>
      <c r="B2089" s="1" t="str">
        <f>IFERROR(__xludf.DUMMYFUNCTION("GOOGLETRANSLATE(A2015, ""zh-CN"", ""en"")"),"Fujian Province")</f>
        <v>Fujian Province</v>
      </c>
      <c r="C2089" s="1" t="s">
        <v>1922</v>
      </c>
      <c r="D2089" s="1" t="str">
        <f>IFERROR(__xludf.DUMMYFUNCTION("GOOGLETRANSLATE(C2089, ""zh-CN"", ""en"")"),"Ziyang City")</f>
        <v>Ziyang City</v>
      </c>
      <c r="E2089" s="1" t="s">
        <v>8</v>
      </c>
      <c r="F2089" s="1" t="str">
        <f>IFERROR(__xludf.DUMMYFUNCTION("GOOGLETRANSLATE(E2089, ""zh-CN"", ""en"")"),"Na")</f>
        <v>Na</v>
      </c>
      <c r="G2089" s="1">
        <v>5.12E11</v>
      </c>
    </row>
    <row r="2090">
      <c r="A2090" s="1" t="s">
        <v>1904</v>
      </c>
      <c r="B2090" s="1" t="str">
        <f>IFERROR(__xludf.DUMMYFUNCTION("GOOGLETRANSLATE(A2016, ""zh-CN"", ""en"")"),"Fujian Province")</f>
        <v>Fujian Province</v>
      </c>
      <c r="C2090" s="1" t="s">
        <v>1923</v>
      </c>
      <c r="D2090" s="1" t="str">
        <f>IFERROR(__xludf.DUMMYFUNCTION("GOOGLETRANSLATE(C2090, ""zh-CN"", ""en"")"),"Aba Tibetan Qiang Autonomous Prefecture")</f>
        <v>Aba Tibetan Qiang Autonomous Prefecture</v>
      </c>
      <c r="E2090" s="1" t="s">
        <v>8</v>
      </c>
      <c r="F2090" s="1" t="str">
        <f>IFERROR(__xludf.DUMMYFUNCTION("GOOGLETRANSLATE(E2090, ""zh-CN"", ""en"")"),"Na")</f>
        <v>Na</v>
      </c>
      <c r="G2090" s="1">
        <v>5.132E11</v>
      </c>
    </row>
    <row r="2091">
      <c r="A2091" s="1" t="s">
        <v>1904</v>
      </c>
      <c r="B2091" s="1" t="str">
        <f>IFERROR(__xludf.DUMMYFUNCTION("GOOGLETRANSLATE(A2017, ""zh-CN"", ""en"")"),"Fujian Province")</f>
        <v>Fujian Province</v>
      </c>
      <c r="C2091" s="1" t="s">
        <v>1924</v>
      </c>
      <c r="D2091" s="1" t="str">
        <f>IFERROR(__xludf.DUMMYFUNCTION("GOOGLETRANSLATE(C2091, ""zh-CN"", ""en"")"),"Ganzi Tibetan Autonomous Prefecture")</f>
        <v>Ganzi Tibetan Autonomous Prefecture</v>
      </c>
      <c r="E2091" s="1" t="s">
        <v>8</v>
      </c>
      <c r="F2091" s="1" t="str">
        <f>IFERROR(__xludf.DUMMYFUNCTION("GOOGLETRANSLATE(E2091, ""zh-CN"", ""en"")"),"Na")</f>
        <v>Na</v>
      </c>
      <c r="G2091" s="1">
        <v>5.133E11</v>
      </c>
    </row>
    <row r="2092">
      <c r="A2092" s="1" t="s">
        <v>1904</v>
      </c>
      <c r="B2092" s="1" t="str">
        <f>IFERROR(__xludf.DUMMYFUNCTION("GOOGLETRANSLATE(A2018, ""zh-CN"", ""en"")"),"Fujian Province")</f>
        <v>Fujian Province</v>
      </c>
      <c r="C2092" s="1" t="s">
        <v>1925</v>
      </c>
      <c r="D2092" s="1" t="str">
        <f>IFERROR(__xludf.DUMMYFUNCTION("GOOGLETRANSLATE(C2092, ""zh-CN"", ""en"")"),"Liangshan Yi Autonomous Prefecture")</f>
        <v>Liangshan Yi Autonomous Prefecture</v>
      </c>
      <c r="E2092" s="1" t="s">
        <v>8</v>
      </c>
      <c r="F2092" s="1" t="str">
        <f>IFERROR(__xludf.DUMMYFUNCTION("GOOGLETRANSLATE(E2092, ""zh-CN"", ""en"")"),"Na")</f>
        <v>Na</v>
      </c>
      <c r="G2092" s="1">
        <v>5.134E11</v>
      </c>
    </row>
    <row r="2093">
      <c r="A2093" s="1" t="s">
        <v>1904</v>
      </c>
      <c r="B2093" s="1" t="str">
        <f>IFERROR(__xludf.DUMMYFUNCTION("GOOGLETRANSLATE(A2019, ""zh-CN"", ""en"")"),"Fujian Province")</f>
        <v>Fujian Province</v>
      </c>
      <c r="C2093" s="1" t="s">
        <v>1905</v>
      </c>
      <c r="D2093" s="1" t="str">
        <f>IFERROR(__xludf.DUMMYFUNCTION("GOOGLETRANSLATE(C2093, ""zh-CN"", ""en"")"),"Chengdu")</f>
        <v>Chengdu</v>
      </c>
      <c r="E2093" s="1" t="s">
        <v>24</v>
      </c>
      <c r="F2093" s="1" t="str">
        <f>IFERROR(__xludf.DUMMYFUNCTION("GOOGLETRANSLATE(E2093, ""zh-CN"", ""en"")"),"City area")</f>
        <v>City area</v>
      </c>
      <c r="G2093" s="1">
        <v>5.10101E11</v>
      </c>
    </row>
    <row r="2094">
      <c r="A2094" s="1" t="s">
        <v>1904</v>
      </c>
      <c r="B2094" s="1" t="str">
        <f>IFERROR(__xludf.DUMMYFUNCTION("GOOGLETRANSLATE(A2020, ""zh-CN"", ""en"")"),"Fujian Province")</f>
        <v>Fujian Province</v>
      </c>
      <c r="C2094" s="1" t="s">
        <v>1905</v>
      </c>
      <c r="D2094" s="1" t="str">
        <f>IFERROR(__xludf.DUMMYFUNCTION("GOOGLETRANSLATE(C2094, ""zh-CN"", ""en"")"),"Chengdu")</f>
        <v>Chengdu</v>
      </c>
      <c r="E2094" s="1" t="s">
        <v>1926</v>
      </c>
      <c r="F2094" s="1" t="str">
        <f>IFERROR(__xludf.DUMMYFUNCTION("GOOGLETRANSLATE(E2094, ""zh-CN"", ""en"")"),"Jinjiang District")</f>
        <v>Jinjiang District</v>
      </c>
      <c r="G2094" s="1">
        <v>5.10104E11</v>
      </c>
    </row>
    <row r="2095">
      <c r="A2095" s="1" t="s">
        <v>1904</v>
      </c>
      <c r="B2095" s="1" t="str">
        <f>IFERROR(__xludf.DUMMYFUNCTION("GOOGLETRANSLATE(A2021, ""zh-CN"", ""en"")"),"Fujian Province")</f>
        <v>Fujian Province</v>
      </c>
      <c r="C2095" s="1" t="s">
        <v>1905</v>
      </c>
      <c r="D2095" s="1" t="str">
        <f>IFERROR(__xludf.DUMMYFUNCTION("GOOGLETRANSLATE(C2095, ""zh-CN"", ""en"")"),"Chengdu")</f>
        <v>Chengdu</v>
      </c>
      <c r="E2095" s="1" t="s">
        <v>1927</v>
      </c>
      <c r="F2095" s="1" t="str">
        <f>IFERROR(__xludf.DUMMYFUNCTION("GOOGLETRANSLATE(E2095, ""zh-CN"", ""en"")"),"Qingyang District")</f>
        <v>Qingyang District</v>
      </c>
      <c r="G2095" s="1">
        <v>5.10105E11</v>
      </c>
    </row>
    <row r="2096">
      <c r="A2096" s="1" t="s">
        <v>1904</v>
      </c>
      <c r="B2096" s="1" t="str">
        <f>IFERROR(__xludf.DUMMYFUNCTION("GOOGLETRANSLATE(A2022, ""zh-CN"", ""en"")"),"Fujian Province")</f>
        <v>Fujian Province</v>
      </c>
      <c r="C2096" s="1" t="s">
        <v>1905</v>
      </c>
      <c r="D2096" s="1" t="str">
        <f>IFERROR(__xludf.DUMMYFUNCTION("GOOGLETRANSLATE(C2096, ""zh-CN"", ""en"")"),"Chengdu")</f>
        <v>Chengdu</v>
      </c>
      <c r="E2096" s="1" t="s">
        <v>1928</v>
      </c>
      <c r="F2096" s="1" t="str">
        <f>IFERROR(__xludf.DUMMYFUNCTION("GOOGLETRANSLATE(E2096, ""zh-CN"", ""en"")"),"Taurus area")</f>
        <v>Taurus area</v>
      </c>
      <c r="G2096" s="1">
        <v>5.10106E11</v>
      </c>
    </row>
    <row r="2097">
      <c r="A2097" s="1" t="s">
        <v>1904</v>
      </c>
      <c r="B2097" s="1" t="str">
        <f>IFERROR(__xludf.DUMMYFUNCTION("GOOGLETRANSLATE(A2023, ""zh-CN"", ""en"")"),"Fujian Province")</f>
        <v>Fujian Province</v>
      </c>
      <c r="C2097" s="1" t="s">
        <v>1905</v>
      </c>
      <c r="D2097" s="1" t="str">
        <f>IFERROR(__xludf.DUMMYFUNCTION("GOOGLETRANSLATE(C2097, ""zh-CN"", ""en"")"),"Chengdu")</f>
        <v>Chengdu</v>
      </c>
      <c r="E2097" s="1" t="s">
        <v>1929</v>
      </c>
      <c r="F2097" s="1" t="str">
        <f>IFERROR(__xludf.DUMMYFUNCTION("GOOGLETRANSLATE(E2097, ""zh-CN"", ""en"")"),"Wuhou District")</f>
        <v>Wuhou District</v>
      </c>
      <c r="G2097" s="1">
        <v>5.10107E11</v>
      </c>
    </row>
    <row r="2098">
      <c r="A2098" s="1" t="s">
        <v>1904</v>
      </c>
      <c r="B2098" s="1" t="str">
        <f>IFERROR(__xludf.DUMMYFUNCTION("GOOGLETRANSLATE(A2024, ""zh-CN"", ""en"")"),"Fujian Province")</f>
        <v>Fujian Province</v>
      </c>
      <c r="C2098" s="1" t="s">
        <v>1905</v>
      </c>
      <c r="D2098" s="1" t="str">
        <f>IFERROR(__xludf.DUMMYFUNCTION("GOOGLETRANSLATE(C2098, ""zh-CN"", ""en"")"),"Chengdu")</f>
        <v>Chengdu</v>
      </c>
      <c r="E2098" s="1" t="s">
        <v>1930</v>
      </c>
      <c r="F2098" s="1" t="str">
        <f>IFERROR(__xludf.DUMMYFUNCTION("GOOGLETRANSLATE(E2098, ""zh-CN"", ""en"")"),"Chenghua District")</f>
        <v>Chenghua District</v>
      </c>
      <c r="G2098" s="1">
        <v>5.10108E11</v>
      </c>
    </row>
    <row r="2099">
      <c r="A2099" s="1" t="s">
        <v>1904</v>
      </c>
      <c r="B2099" s="1" t="str">
        <f>IFERROR(__xludf.DUMMYFUNCTION("GOOGLETRANSLATE(A2025, ""zh-CN"", ""en"")"),"Fujian Province")</f>
        <v>Fujian Province</v>
      </c>
      <c r="C2099" s="1" t="s">
        <v>1905</v>
      </c>
      <c r="D2099" s="1" t="str">
        <f>IFERROR(__xludf.DUMMYFUNCTION("GOOGLETRANSLATE(C2099, ""zh-CN"", ""en"")"),"Chengdu")</f>
        <v>Chengdu</v>
      </c>
      <c r="E2099" s="1" t="s">
        <v>1931</v>
      </c>
      <c r="F2099" s="1" t="str">
        <f>IFERROR(__xludf.DUMMYFUNCTION("GOOGLETRANSLATE(E2099, ""zh-CN"", ""en"")"),"Longquanyi District")</f>
        <v>Longquanyi District</v>
      </c>
      <c r="G2099" s="1">
        <v>5.10112E11</v>
      </c>
    </row>
    <row r="2100">
      <c r="A2100" s="1" t="s">
        <v>1904</v>
      </c>
      <c r="B2100" s="1" t="str">
        <f>IFERROR(__xludf.DUMMYFUNCTION("GOOGLETRANSLATE(A2026, ""zh-CN"", ""en"")"),"Fujian Province")</f>
        <v>Fujian Province</v>
      </c>
      <c r="C2100" s="1" t="s">
        <v>1905</v>
      </c>
      <c r="D2100" s="1" t="str">
        <f>IFERROR(__xludf.DUMMYFUNCTION("GOOGLETRANSLATE(C2100, ""zh-CN"", ""en"")"),"Chengdu")</f>
        <v>Chengdu</v>
      </c>
      <c r="E2100" s="1" t="s">
        <v>1932</v>
      </c>
      <c r="F2100" s="1" t="str">
        <f>IFERROR(__xludf.DUMMYFUNCTION("GOOGLETRANSLATE(E2100, ""zh-CN"", ""en"")"),"Qingbaijiang District")</f>
        <v>Qingbaijiang District</v>
      </c>
      <c r="G2100" s="1">
        <v>5.10113E11</v>
      </c>
    </row>
    <row r="2101">
      <c r="A2101" s="1" t="s">
        <v>1904</v>
      </c>
      <c r="B2101" s="1" t="str">
        <f>IFERROR(__xludf.DUMMYFUNCTION("GOOGLETRANSLATE(A2027, ""zh-CN"", ""en"")"),"Fujian Province")</f>
        <v>Fujian Province</v>
      </c>
      <c r="C2101" s="1" t="s">
        <v>1905</v>
      </c>
      <c r="D2101" s="1" t="str">
        <f>IFERROR(__xludf.DUMMYFUNCTION("GOOGLETRANSLATE(C2101, ""zh-CN"", ""en"")"),"Chengdu")</f>
        <v>Chengdu</v>
      </c>
      <c r="E2101" s="1" t="s">
        <v>1933</v>
      </c>
      <c r="F2101" s="1" t="str">
        <f>IFERROR(__xludf.DUMMYFUNCTION("GOOGLETRANSLATE(E2101, ""zh-CN"", ""en"")"),"Xindu District")</f>
        <v>Xindu District</v>
      </c>
      <c r="G2101" s="1">
        <v>5.10114E11</v>
      </c>
    </row>
    <row r="2102">
      <c r="A2102" s="1" t="s">
        <v>1904</v>
      </c>
      <c r="B2102" s="1" t="str">
        <f>IFERROR(__xludf.DUMMYFUNCTION("GOOGLETRANSLATE(A2028, ""zh-CN"", ""en"")"),"Fujian Province")</f>
        <v>Fujian Province</v>
      </c>
      <c r="C2102" s="1" t="s">
        <v>1905</v>
      </c>
      <c r="D2102" s="1" t="str">
        <f>IFERROR(__xludf.DUMMYFUNCTION("GOOGLETRANSLATE(C2102, ""zh-CN"", ""en"")"),"Chengdu")</f>
        <v>Chengdu</v>
      </c>
      <c r="E2102" s="1" t="s">
        <v>1934</v>
      </c>
      <c r="F2102" s="1" t="str">
        <f>IFERROR(__xludf.DUMMYFUNCTION("GOOGLETRANSLATE(E2102, ""zh-CN"", ""en"")"),"Wenjiang District")</f>
        <v>Wenjiang District</v>
      </c>
      <c r="G2102" s="1">
        <v>5.10115E11</v>
      </c>
    </row>
    <row r="2103">
      <c r="A2103" s="1" t="s">
        <v>1904</v>
      </c>
      <c r="B2103" s="1" t="str">
        <f>IFERROR(__xludf.DUMMYFUNCTION("GOOGLETRANSLATE(A2029, ""zh-CN"", ""en"")"),"Fujian Province")</f>
        <v>Fujian Province</v>
      </c>
      <c r="C2103" s="1" t="s">
        <v>1905</v>
      </c>
      <c r="D2103" s="1" t="str">
        <f>IFERROR(__xludf.DUMMYFUNCTION("GOOGLETRANSLATE(C2103, ""zh-CN"", ""en"")"),"Chengdu")</f>
        <v>Chengdu</v>
      </c>
      <c r="E2103" s="1" t="s">
        <v>1935</v>
      </c>
      <c r="F2103" s="1" t="str">
        <f>IFERROR(__xludf.DUMMYFUNCTION("GOOGLETRANSLATE(E2103, ""zh-CN"", ""en"")"),"Dual -stream area")</f>
        <v>Dual -stream area</v>
      </c>
      <c r="G2103" s="1">
        <v>5.10116E11</v>
      </c>
    </row>
    <row r="2104">
      <c r="A2104" s="1" t="s">
        <v>1904</v>
      </c>
      <c r="B2104" s="1" t="str">
        <f>IFERROR(__xludf.DUMMYFUNCTION("GOOGLETRANSLATE(A2030, ""zh-CN"", ""en"")"),"Fujian Province")</f>
        <v>Fujian Province</v>
      </c>
      <c r="C2104" s="1" t="s">
        <v>1905</v>
      </c>
      <c r="D2104" s="1" t="str">
        <f>IFERROR(__xludf.DUMMYFUNCTION("GOOGLETRANSLATE(C2104, ""zh-CN"", ""en"")"),"Chengdu")</f>
        <v>Chengdu</v>
      </c>
      <c r="E2104" s="1" t="s">
        <v>1936</v>
      </c>
      <c r="F2104" s="1" t="str">
        <f>IFERROR(__xludf.DUMMYFUNCTION("GOOGLETRANSLATE(E2104, ""zh-CN"", ""en"")"),"Du Du District")</f>
        <v>Du Du District</v>
      </c>
      <c r="G2104" s="1">
        <v>5.10117E11</v>
      </c>
    </row>
    <row r="2105">
      <c r="A2105" s="1" t="s">
        <v>1904</v>
      </c>
      <c r="B2105" s="1" t="str">
        <f>IFERROR(__xludf.DUMMYFUNCTION("GOOGLETRANSLATE(A2031, ""zh-CN"", ""en"")"),"Fujian Province")</f>
        <v>Fujian Province</v>
      </c>
      <c r="C2105" s="1" t="s">
        <v>1905</v>
      </c>
      <c r="D2105" s="1" t="str">
        <f>IFERROR(__xludf.DUMMYFUNCTION("GOOGLETRANSLATE(C2105, ""zh-CN"", ""en"")"),"Chengdu")</f>
        <v>Chengdu</v>
      </c>
      <c r="E2105" s="1" t="s">
        <v>1937</v>
      </c>
      <c r="F2105" s="1" t="str">
        <f>IFERROR(__xludf.DUMMYFUNCTION("GOOGLETRANSLATE(E2105, ""zh-CN"", ""en"")"),"Xinjin District")</f>
        <v>Xinjin District</v>
      </c>
      <c r="G2105" s="1">
        <v>5.10118E11</v>
      </c>
    </row>
    <row r="2106">
      <c r="A2106" s="1" t="s">
        <v>1904</v>
      </c>
      <c r="B2106" s="1" t="str">
        <f>IFERROR(__xludf.DUMMYFUNCTION("GOOGLETRANSLATE(A2032, ""zh-CN"", ""en"")"),"Fujian Province")</f>
        <v>Fujian Province</v>
      </c>
      <c r="C2106" s="1" t="s">
        <v>1905</v>
      </c>
      <c r="D2106" s="1" t="str">
        <f>IFERROR(__xludf.DUMMYFUNCTION("GOOGLETRANSLATE(C2106, ""zh-CN"", ""en"")"),"Chengdu")</f>
        <v>Chengdu</v>
      </c>
      <c r="E2106" s="1" t="s">
        <v>1938</v>
      </c>
      <c r="F2106" s="1" t="str">
        <f>IFERROR(__xludf.DUMMYFUNCTION("GOOGLETRANSLATE(E2106, ""zh-CN"", ""en"")"),"Jinsang County")</f>
        <v>Jinsang County</v>
      </c>
      <c r="G2106" s="1">
        <v>5.10121E11</v>
      </c>
    </row>
    <row r="2107">
      <c r="A2107" s="1" t="s">
        <v>1904</v>
      </c>
      <c r="B2107" s="1" t="str">
        <f>IFERROR(__xludf.DUMMYFUNCTION("GOOGLETRANSLATE(A2033, ""zh-CN"", ""en"")"),"Fujian Province")</f>
        <v>Fujian Province</v>
      </c>
      <c r="C2107" s="1" t="s">
        <v>1905</v>
      </c>
      <c r="D2107" s="1" t="str">
        <f>IFERROR(__xludf.DUMMYFUNCTION("GOOGLETRANSLATE(C2107, ""zh-CN"", ""en"")"),"Chengdu")</f>
        <v>Chengdu</v>
      </c>
      <c r="E2107" s="1" t="s">
        <v>1939</v>
      </c>
      <c r="F2107" s="1" t="str">
        <f>IFERROR(__xludf.DUMMYFUNCTION("GOOGLETRANSLATE(E2107, ""zh-CN"", ""en"")"),"Dayi County")</f>
        <v>Dayi County</v>
      </c>
      <c r="G2107" s="1">
        <v>5.10129E11</v>
      </c>
    </row>
    <row r="2108">
      <c r="A2108" s="1" t="s">
        <v>1904</v>
      </c>
      <c r="B2108" s="1" t="str">
        <f>IFERROR(__xludf.DUMMYFUNCTION("GOOGLETRANSLATE(A2034, ""zh-CN"", ""en"")"),"Fujian Province")</f>
        <v>Fujian Province</v>
      </c>
      <c r="C2108" s="1" t="s">
        <v>1905</v>
      </c>
      <c r="D2108" s="1" t="str">
        <f>IFERROR(__xludf.DUMMYFUNCTION("GOOGLETRANSLATE(C2108, ""zh-CN"", ""en"")"),"Chengdu")</f>
        <v>Chengdu</v>
      </c>
      <c r="E2108" s="1" t="s">
        <v>1940</v>
      </c>
      <c r="F2108" s="1" t="str">
        <f>IFERROR(__xludf.DUMMYFUNCTION("GOOGLETRANSLATE(E2108, ""zh-CN"", ""en"")"),"Pujiang County")</f>
        <v>Pujiang County</v>
      </c>
      <c r="G2108" s="1">
        <v>5.10131E11</v>
      </c>
    </row>
    <row r="2109">
      <c r="A2109" s="1" t="s">
        <v>1904</v>
      </c>
      <c r="B2109" s="1" t="str">
        <f>IFERROR(__xludf.DUMMYFUNCTION("GOOGLETRANSLATE(A2035, ""zh-CN"", ""en"")"),"Fujian Province")</f>
        <v>Fujian Province</v>
      </c>
      <c r="C2109" s="1" t="s">
        <v>1905</v>
      </c>
      <c r="D2109" s="1" t="str">
        <f>IFERROR(__xludf.DUMMYFUNCTION("GOOGLETRANSLATE(C2109, ""zh-CN"", ""en"")"),"Chengdu")</f>
        <v>Chengdu</v>
      </c>
      <c r="E2109" s="1" t="s">
        <v>1941</v>
      </c>
      <c r="F2109" s="1" t="str">
        <f>IFERROR(__xludf.DUMMYFUNCTION("GOOGLETRANSLATE(E2109, ""zh-CN"", ""en"")"),"Dujiangyan City")</f>
        <v>Dujiangyan City</v>
      </c>
      <c r="G2109" s="1">
        <v>5.10181E11</v>
      </c>
    </row>
    <row r="2110">
      <c r="A2110" s="1" t="s">
        <v>1904</v>
      </c>
      <c r="B2110" s="1" t="str">
        <f>IFERROR(__xludf.DUMMYFUNCTION("GOOGLETRANSLATE(A2036, ""zh-CN"", ""en"")"),"Fujian Province")</f>
        <v>Fujian Province</v>
      </c>
      <c r="C2110" s="1" t="s">
        <v>1905</v>
      </c>
      <c r="D2110" s="1" t="str">
        <f>IFERROR(__xludf.DUMMYFUNCTION("GOOGLETRANSLATE(C2110, ""zh-CN"", ""en"")"),"Chengdu")</f>
        <v>Chengdu</v>
      </c>
      <c r="E2110" s="1" t="s">
        <v>1942</v>
      </c>
      <c r="F2110" s="1" t="str">
        <f>IFERROR(__xludf.DUMMYFUNCTION("GOOGLETRANSLATE(E2110, ""zh-CN"", ""en"")"),"Pengzhou")</f>
        <v>Pengzhou</v>
      </c>
      <c r="G2110" s="1">
        <v>5.10182E11</v>
      </c>
    </row>
    <row r="2111">
      <c r="A2111" s="1" t="s">
        <v>1904</v>
      </c>
      <c r="B2111" s="1" t="str">
        <f>IFERROR(__xludf.DUMMYFUNCTION("GOOGLETRANSLATE(A2037, ""zh-CN"", ""en"")"),"Fujian Province")</f>
        <v>Fujian Province</v>
      </c>
      <c r="C2111" s="1" t="s">
        <v>1905</v>
      </c>
      <c r="D2111" s="1" t="str">
        <f>IFERROR(__xludf.DUMMYFUNCTION("GOOGLETRANSLATE(C2111, ""zh-CN"", ""en"")"),"Chengdu")</f>
        <v>Chengdu</v>
      </c>
      <c r="E2111" s="1" t="s">
        <v>1943</v>
      </c>
      <c r="F2111" s="1" t="str">
        <f>IFERROR(__xludf.DUMMYFUNCTION("GOOGLETRANSLATE(E2111, ""zh-CN"", ""en"")"),"Municipality")</f>
        <v>Municipality</v>
      </c>
      <c r="G2111" s="1">
        <v>5.10183E11</v>
      </c>
    </row>
    <row r="2112">
      <c r="A2112" s="1" t="s">
        <v>1904</v>
      </c>
      <c r="B2112" s="1" t="str">
        <f>IFERROR(__xludf.DUMMYFUNCTION("GOOGLETRANSLATE(A2038, ""zh-CN"", ""en"")"),"Fujian Province")</f>
        <v>Fujian Province</v>
      </c>
      <c r="C2112" s="1" t="s">
        <v>1905</v>
      </c>
      <c r="D2112" s="1" t="str">
        <f>IFERROR(__xludf.DUMMYFUNCTION("GOOGLETRANSLATE(C2112, ""zh-CN"", ""en"")"),"Chengdu")</f>
        <v>Chengdu</v>
      </c>
      <c r="E2112" s="1" t="s">
        <v>1944</v>
      </c>
      <c r="F2112" s="1" t="str">
        <f>IFERROR(__xludf.DUMMYFUNCTION("GOOGLETRANSLATE(E2112, ""zh-CN"", ""en"")"),"Chongzhou")</f>
        <v>Chongzhou</v>
      </c>
      <c r="G2112" s="1">
        <v>5.10184E11</v>
      </c>
    </row>
    <row r="2113">
      <c r="A2113" s="1" t="s">
        <v>1904</v>
      </c>
      <c r="B2113" s="1" t="str">
        <f>IFERROR(__xludf.DUMMYFUNCTION("GOOGLETRANSLATE(A2039, ""zh-CN"", ""en"")"),"Fujian Province")</f>
        <v>Fujian Province</v>
      </c>
      <c r="C2113" s="1" t="s">
        <v>1905</v>
      </c>
      <c r="D2113" s="1" t="str">
        <f>IFERROR(__xludf.DUMMYFUNCTION("GOOGLETRANSLATE(C2113, ""zh-CN"", ""en"")"),"Chengdu")</f>
        <v>Chengdu</v>
      </c>
      <c r="E2113" s="1" t="s">
        <v>1945</v>
      </c>
      <c r="F2113" s="1" t="str">
        <f>IFERROR(__xludf.DUMMYFUNCTION("GOOGLETRANSLATE(E2113, ""zh-CN"", ""en"")"),"Jianyang City")</f>
        <v>Jianyang City</v>
      </c>
      <c r="G2113" s="1">
        <v>5.10185E11</v>
      </c>
    </row>
    <row r="2114">
      <c r="A2114" s="1" t="s">
        <v>1904</v>
      </c>
      <c r="B2114" s="1" t="str">
        <f>IFERROR(__xludf.DUMMYFUNCTION("GOOGLETRANSLATE(A2040, ""zh-CN"", ""en"")"),"Fujian Province")</f>
        <v>Fujian Province</v>
      </c>
      <c r="C2114" s="1" t="s">
        <v>1906</v>
      </c>
      <c r="D2114" s="1" t="str">
        <f>IFERROR(__xludf.DUMMYFUNCTION("GOOGLETRANSLATE(C2114, ""zh-CN"", ""en"")"),"Zigong City")</f>
        <v>Zigong City</v>
      </c>
      <c r="E2114" s="1" t="s">
        <v>24</v>
      </c>
      <c r="F2114" s="1" t="str">
        <f>IFERROR(__xludf.DUMMYFUNCTION("GOOGLETRANSLATE(E2114, ""zh-CN"", ""en"")"),"City area")</f>
        <v>City area</v>
      </c>
      <c r="G2114" s="1">
        <v>5.10301E11</v>
      </c>
    </row>
    <row r="2115">
      <c r="A2115" s="1" t="s">
        <v>1904</v>
      </c>
      <c r="B2115" s="1" t="str">
        <f>IFERROR(__xludf.DUMMYFUNCTION("GOOGLETRANSLATE(A2041, ""zh-CN"", ""en"")"),"Fujian Province")</f>
        <v>Fujian Province</v>
      </c>
      <c r="C2115" s="1" t="s">
        <v>1906</v>
      </c>
      <c r="D2115" s="1" t="str">
        <f>IFERROR(__xludf.DUMMYFUNCTION("GOOGLETRANSLATE(C2115, ""zh-CN"", ""en"")"),"Zigong City")</f>
        <v>Zigong City</v>
      </c>
      <c r="E2115" s="1" t="s">
        <v>1946</v>
      </c>
      <c r="F2115" s="1" t="str">
        <f>IFERROR(__xludf.DUMMYFUNCTION("GOOGLETRANSLATE(E2115, ""zh-CN"", ""en"")"),"Self -streaming area")</f>
        <v>Self -streaming area</v>
      </c>
      <c r="G2115" s="1">
        <v>5.10302E11</v>
      </c>
    </row>
    <row r="2116">
      <c r="A2116" s="1" t="s">
        <v>1904</v>
      </c>
      <c r="B2116" s="1" t="str">
        <f>IFERROR(__xludf.DUMMYFUNCTION("GOOGLETRANSLATE(A2042, ""zh-CN"", ""en"")"),"Fujian Province")</f>
        <v>Fujian Province</v>
      </c>
      <c r="C2116" s="1" t="s">
        <v>1906</v>
      </c>
      <c r="D2116" s="1" t="str">
        <f>IFERROR(__xludf.DUMMYFUNCTION("GOOGLETRANSLATE(C2116, ""zh-CN"", ""en"")"),"Zigong City")</f>
        <v>Zigong City</v>
      </c>
      <c r="E2116" s="1" t="s">
        <v>1947</v>
      </c>
      <c r="F2116" s="1" t="str">
        <f>IFERROR(__xludf.DUMMYFUNCTION("GOOGLETRANSLATE(E2116, ""zh-CN"", ""en"")"),"Gongjing District")</f>
        <v>Gongjing District</v>
      </c>
      <c r="G2116" s="1">
        <v>5.10303E11</v>
      </c>
    </row>
    <row r="2117">
      <c r="A2117" s="1" t="s">
        <v>1904</v>
      </c>
      <c r="B2117" s="1" t="str">
        <f>IFERROR(__xludf.DUMMYFUNCTION("GOOGLETRANSLATE(A2043, ""zh-CN"", ""en"")"),"Fujian Province")</f>
        <v>Fujian Province</v>
      </c>
      <c r="C2117" s="1" t="s">
        <v>1906</v>
      </c>
      <c r="D2117" s="1" t="str">
        <f>IFERROR(__xludf.DUMMYFUNCTION("GOOGLETRANSLATE(C2117, ""zh-CN"", ""en"")"),"Zigong City")</f>
        <v>Zigong City</v>
      </c>
      <c r="E2117" s="1" t="s">
        <v>1948</v>
      </c>
      <c r="F2117" s="1" t="str">
        <f>IFERROR(__xludf.DUMMYFUNCTION("GOOGLETRANSLATE(E2117, ""zh-CN"", ""en"")"),"Daan District")</f>
        <v>Daan District</v>
      </c>
      <c r="G2117" s="1">
        <v>5.10304E11</v>
      </c>
    </row>
    <row r="2118">
      <c r="A2118" s="1" t="s">
        <v>1904</v>
      </c>
      <c r="B2118" s="1" t="str">
        <f>IFERROR(__xludf.DUMMYFUNCTION("GOOGLETRANSLATE(A2044, ""zh-CN"", ""en"")"),"Fujian Province")</f>
        <v>Fujian Province</v>
      </c>
      <c r="C2118" s="1" t="s">
        <v>1906</v>
      </c>
      <c r="D2118" s="1" t="str">
        <f>IFERROR(__xludf.DUMMYFUNCTION("GOOGLETRANSLATE(C2118, ""zh-CN"", ""en"")"),"Zigong City")</f>
        <v>Zigong City</v>
      </c>
      <c r="E2118" s="1" t="s">
        <v>1949</v>
      </c>
      <c r="F2118" s="1" t="str">
        <f>IFERROR(__xludf.DUMMYFUNCTION("GOOGLETRANSLATE(E2118, ""zh-CN"", ""en"")"),"Beach")</f>
        <v>Beach</v>
      </c>
      <c r="G2118" s="1">
        <v>5.10311E11</v>
      </c>
    </row>
    <row r="2119">
      <c r="A2119" s="1" t="s">
        <v>1904</v>
      </c>
      <c r="B2119" s="1" t="str">
        <f>IFERROR(__xludf.DUMMYFUNCTION("GOOGLETRANSLATE(A2045, ""zh-CN"", ""en"")"),"Fujian Province")</f>
        <v>Fujian Province</v>
      </c>
      <c r="C2119" s="1" t="s">
        <v>1906</v>
      </c>
      <c r="D2119" s="1" t="str">
        <f>IFERROR(__xludf.DUMMYFUNCTION("GOOGLETRANSLATE(C2119, ""zh-CN"", ""en"")"),"Zigong City")</f>
        <v>Zigong City</v>
      </c>
      <c r="E2119" s="1" t="s">
        <v>1950</v>
      </c>
      <c r="F2119" s="1" t="str">
        <f>IFERROR(__xludf.DUMMYFUNCTION("GOOGLETRANSLATE(E2119, ""zh-CN"", ""en"")"),"Rongxian")</f>
        <v>Rongxian</v>
      </c>
      <c r="G2119" s="1">
        <v>5.10321E11</v>
      </c>
    </row>
    <row r="2120">
      <c r="A2120" s="1" t="s">
        <v>1904</v>
      </c>
      <c r="B2120" s="1" t="str">
        <f>IFERROR(__xludf.DUMMYFUNCTION("GOOGLETRANSLATE(A2046, ""zh-CN"", ""en"")"),"Fujian Province")</f>
        <v>Fujian Province</v>
      </c>
      <c r="C2120" s="1" t="s">
        <v>1906</v>
      </c>
      <c r="D2120" s="1" t="str">
        <f>IFERROR(__xludf.DUMMYFUNCTION("GOOGLETRANSLATE(C2120, ""zh-CN"", ""en"")"),"Zigong City")</f>
        <v>Zigong City</v>
      </c>
      <c r="E2120" s="1" t="s">
        <v>1951</v>
      </c>
      <c r="F2120" s="1" t="str">
        <f>IFERROR(__xludf.DUMMYFUNCTION("GOOGLETRANSLATE(E2120, ""zh-CN"", ""en"")"),"Fushun County")</f>
        <v>Fushun County</v>
      </c>
      <c r="G2120" s="1">
        <v>5.10322E11</v>
      </c>
    </row>
    <row r="2121">
      <c r="A2121" s="1" t="s">
        <v>1904</v>
      </c>
      <c r="B2121" s="1" t="str">
        <f>IFERROR(__xludf.DUMMYFUNCTION("GOOGLETRANSLATE(A2047, ""zh-CN"", ""en"")"),"Fujian Province")</f>
        <v>Fujian Province</v>
      </c>
      <c r="C2121" s="1" t="s">
        <v>1907</v>
      </c>
      <c r="D2121" s="1" t="str">
        <f>IFERROR(__xludf.DUMMYFUNCTION("GOOGLETRANSLATE(C2121, ""zh-CN"", ""en"")"),"Panzhihua City")</f>
        <v>Panzhihua City</v>
      </c>
      <c r="E2121" s="1" t="s">
        <v>24</v>
      </c>
      <c r="F2121" s="1" t="str">
        <f>IFERROR(__xludf.DUMMYFUNCTION("GOOGLETRANSLATE(E2121, ""zh-CN"", ""en"")"),"City area")</f>
        <v>City area</v>
      </c>
      <c r="G2121" s="1">
        <v>5.10401E11</v>
      </c>
    </row>
    <row r="2122">
      <c r="A2122" s="1" t="s">
        <v>1904</v>
      </c>
      <c r="B2122" s="1" t="str">
        <f>IFERROR(__xludf.DUMMYFUNCTION("GOOGLETRANSLATE(A2048, ""zh-CN"", ""en"")"),"Fujian Province")</f>
        <v>Fujian Province</v>
      </c>
      <c r="C2122" s="1" t="s">
        <v>1907</v>
      </c>
      <c r="D2122" s="1" t="str">
        <f>IFERROR(__xludf.DUMMYFUNCTION("GOOGLETRANSLATE(C2122, ""zh-CN"", ""en"")"),"Panzhihua City")</f>
        <v>Panzhihua City</v>
      </c>
      <c r="E2122" s="1" t="s">
        <v>1952</v>
      </c>
      <c r="F2122" s="1" t="str">
        <f>IFERROR(__xludf.DUMMYFUNCTION("GOOGLETRANSLATE(E2122, ""zh-CN"", ""en"")"),"Eastern district")</f>
        <v>Eastern district</v>
      </c>
      <c r="G2122" s="1">
        <v>5.10402E11</v>
      </c>
    </row>
    <row r="2123">
      <c r="A2123" s="1" t="s">
        <v>1904</v>
      </c>
      <c r="B2123" s="1" t="str">
        <f>IFERROR(__xludf.DUMMYFUNCTION("GOOGLETRANSLATE(A2049, ""zh-CN"", ""en"")"),"Fujian Province")</f>
        <v>Fujian Province</v>
      </c>
      <c r="C2123" s="1" t="s">
        <v>1907</v>
      </c>
      <c r="D2123" s="1" t="str">
        <f>IFERROR(__xludf.DUMMYFUNCTION("GOOGLETRANSLATE(C2123, ""zh-CN"", ""en"")"),"Panzhihua City")</f>
        <v>Panzhihua City</v>
      </c>
      <c r="E2123" s="1" t="s">
        <v>1953</v>
      </c>
      <c r="F2123" s="1" t="str">
        <f>IFERROR(__xludf.DUMMYFUNCTION("GOOGLETRANSLATE(E2123, ""zh-CN"", ""en"")"),"Western region")</f>
        <v>Western region</v>
      </c>
      <c r="G2123" s="1">
        <v>5.10403E11</v>
      </c>
    </row>
    <row r="2124">
      <c r="A2124" s="1" t="s">
        <v>1904</v>
      </c>
      <c r="B2124" s="1" t="str">
        <f>IFERROR(__xludf.DUMMYFUNCTION("GOOGLETRANSLATE(A2050, ""zh-CN"", ""en"")"),"Fujian Province")</f>
        <v>Fujian Province</v>
      </c>
      <c r="C2124" s="1" t="s">
        <v>1907</v>
      </c>
      <c r="D2124" s="1" t="str">
        <f>IFERROR(__xludf.DUMMYFUNCTION("GOOGLETRANSLATE(C2124, ""zh-CN"", ""en"")"),"Panzhihua City")</f>
        <v>Panzhihua City</v>
      </c>
      <c r="E2124" s="1" t="s">
        <v>1954</v>
      </c>
      <c r="F2124" s="1" t="str">
        <f>IFERROR(__xludf.DUMMYFUNCTION("GOOGLETRANSLATE(E2124, ""zh-CN"", ""en"")"),"Renhe District")</f>
        <v>Renhe District</v>
      </c>
      <c r="G2124" s="1">
        <v>5.10411E11</v>
      </c>
    </row>
    <row r="2125">
      <c r="A2125" s="1" t="s">
        <v>1904</v>
      </c>
      <c r="B2125" s="1" t="str">
        <f>IFERROR(__xludf.DUMMYFUNCTION("GOOGLETRANSLATE(A2051, ""zh-CN"", ""en"")"),"Fujian Province")</f>
        <v>Fujian Province</v>
      </c>
      <c r="C2125" s="1" t="s">
        <v>1907</v>
      </c>
      <c r="D2125" s="1" t="str">
        <f>IFERROR(__xludf.DUMMYFUNCTION("GOOGLETRANSLATE(C2125, ""zh-CN"", ""en"")"),"Panzhihua City")</f>
        <v>Panzhihua City</v>
      </c>
      <c r="E2125" s="1" t="s">
        <v>1955</v>
      </c>
      <c r="F2125" s="1" t="str">
        <f>IFERROR(__xludf.DUMMYFUNCTION("GOOGLETRANSLATE(E2125, ""zh-CN"", ""en"")"),"Miyi County")</f>
        <v>Miyi County</v>
      </c>
      <c r="G2125" s="1">
        <v>5.10421E11</v>
      </c>
    </row>
    <row r="2126">
      <c r="A2126" s="1" t="s">
        <v>1904</v>
      </c>
      <c r="B2126" s="1" t="str">
        <f>IFERROR(__xludf.DUMMYFUNCTION("GOOGLETRANSLATE(A2052, ""zh-CN"", ""en"")"),"Fujian Province")</f>
        <v>Fujian Province</v>
      </c>
      <c r="C2126" s="1" t="s">
        <v>1907</v>
      </c>
      <c r="D2126" s="1" t="str">
        <f>IFERROR(__xludf.DUMMYFUNCTION("GOOGLETRANSLATE(C2126, ""zh-CN"", ""en"")"),"Panzhihua City")</f>
        <v>Panzhihua City</v>
      </c>
      <c r="E2126" s="1" t="s">
        <v>1956</v>
      </c>
      <c r="F2126" s="1" t="str">
        <f>IFERROR(__xludf.DUMMYFUNCTION("GOOGLETRANSLATE(E2126, ""zh-CN"", ""en"")"),"Yanbian County")</f>
        <v>Yanbian County</v>
      </c>
      <c r="G2126" s="1">
        <v>5.10422E11</v>
      </c>
    </row>
    <row r="2127">
      <c r="A2127" s="1" t="s">
        <v>1904</v>
      </c>
      <c r="B2127" s="1" t="str">
        <f>IFERROR(__xludf.DUMMYFUNCTION("GOOGLETRANSLATE(A2053, ""zh-CN"", ""en"")"),"Fujian Province")</f>
        <v>Fujian Province</v>
      </c>
      <c r="C2127" s="1" t="s">
        <v>1908</v>
      </c>
      <c r="D2127" s="1" t="str">
        <f>IFERROR(__xludf.DUMMYFUNCTION("GOOGLETRANSLATE(C2127, ""zh-CN"", ""en"")"),"Luzhou")</f>
        <v>Luzhou</v>
      </c>
      <c r="E2127" s="1" t="s">
        <v>24</v>
      </c>
      <c r="F2127" s="1" t="str">
        <f>IFERROR(__xludf.DUMMYFUNCTION("GOOGLETRANSLATE(E2127, ""zh-CN"", ""en"")"),"City area")</f>
        <v>City area</v>
      </c>
      <c r="G2127" s="1">
        <v>5.10501E11</v>
      </c>
    </row>
    <row r="2128">
      <c r="A2128" s="1" t="s">
        <v>1904</v>
      </c>
      <c r="B2128" s="1" t="str">
        <f>IFERROR(__xludf.DUMMYFUNCTION("GOOGLETRANSLATE(A2054, ""zh-CN"", ""en"")"),"Fujian Province")</f>
        <v>Fujian Province</v>
      </c>
      <c r="C2128" s="1" t="s">
        <v>1908</v>
      </c>
      <c r="D2128" s="1" t="str">
        <f>IFERROR(__xludf.DUMMYFUNCTION("GOOGLETRANSLATE(C2128, ""zh-CN"", ""en"")"),"Luzhou")</f>
        <v>Luzhou</v>
      </c>
      <c r="E2128" s="1" t="s">
        <v>1957</v>
      </c>
      <c r="F2128" s="1" t="str">
        <f>IFERROR(__xludf.DUMMYFUNCTION("GOOGLETRANSLATE(E2128, ""zh-CN"", ""en"")"),"Jiangyang District")</f>
        <v>Jiangyang District</v>
      </c>
      <c r="G2128" s="1">
        <v>5.10502E11</v>
      </c>
    </row>
    <row r="2129">
      <c r="A2129" s="1" t="s">
        <v>1904</v>
      </c>
      <c r="B2129" s="1" t="str">
        <f>IFERROR(__xludf.DUMMYFUNCTION("GOOGLETRANSLATE(A2055, ""zh-CN"", ""en"")"),"Fujian Province")</f>
        <v>Fujian Province</v>
      </c>
      <c r="C2129" s="1" t="s">
        <v>1908</v>
      </c>
      <c r="D2129" s="1" t="str">
        <f>IFERROR(__xludf.DUMMYFUNCTION("GOOGLETRANSLATE(C2129, ""zh-CN"", ""en"")"),"Luzhou")</f>
        <v>Luzhou</v>
      </c>
      <c r="E2129" s="1" t="s">
        <v>1958</v>
      </c>
      <c r="F2129" s="1" t="str">
        <f>IFERROR(__xludf.DUMMYFUNCTION("GOOGLETRANSLATE(E2129, ""zh-CN"", ""en"")"),"Naxi District")</f>
        <v>Naxi District</v>
      </c>
      <c r="G2129" s="1">
        <v>5.10503E11</v>
      </c>
    </row>
    <row r="2130">
      <c r="A2130" s="1" t="s">
        <v>1904</v>
      </c>
      <c r="B2130" s="1" t="str">
        <f>IFERROR(__xludf.DUMMYFUNCTION("GOOGLETRANSLATE(A2056, ""zh-CN"", ""en"")"),"Fujian Province")</f>
        <v>Fujian Province</v>
      </c>
      <c r="C2130" s="1" t="s">
        <v>1908</v>
      </c>
      <c r="D2130" s="1" t="str">
        <f>IFERROR(__xludf.DUMMYFUNCTION("GOOGLETRANSLATE(C2130, ""zh-CN"", ""en"")"),"Luzhou")</f>
        <v>Luzhou</v>
      </c>
      <c r="E2130" s="1" t="s">
        <v>1959</v>
      </c>
      <c r="F2130" s="1" t="str">
        <f>IFERROR(__xludf.DUMMYFUNCTION("GOOGLETRANSLATE(E2130, ""zh-CN"", ""en"")"),"Longma Tan District")</f>
        <v>Longma Tan District</v>
      </c>
      <c r="G2130" s="1">
        <v>5.10504E11</v>
      </c>
    </row>
    <row r="2131">
      <c r="A2131" s="1" t="s">
        <v>1904</v>
      </c>
      <c r="B2131" s="1" t="str">
        <f>IFERROR(__xludf.DUMMYFUNCTION("GOOGLETRANSLATE(A2057, ""zh-CN"", ""en"")"),"Fujian Province")</f>
        <v>Fujian Province</v>
      </c>
      <c r="C2131" s="1" t="s">
        <v>1908</v>
      </c>
      <c r="D2131" s="1" t="str">
        <f>IFERROR(__xludf.DUMMYFUNCTION("GOOGLETRANSLATE(C2131, ""zh-CN"", ""en"")"),"Luzhou")</f>
        <v>Luzhou</v>
      </c>
      <c r="E2131" s="1" t="s">
        <v>1960</v>
      </c>
      <c r="F2131" s="1" t="str">
        <f>IFERROR(__xludf.DUMMYFUNCTION("GOOGLETRANSLATE(E2131, ""zh-CN"", ""en"")"),"Luxian County")</f>
        <v>Luxian County</v>
      </c>
      <c r="G2131" s="1">
        <v>5.10521E11</v>
      </c>
    </row>
    <row r="2132">
      <c r="A2132" s="1" t="s">
        <v>1904</v>
      </c>
      <c r="B2132" s="1" t="str">
        <f>IFERROR(__xludf.DUMMYFUNCTION("GOOGLETRANSLATE(A2058, ""zh-CN"", ""en"")"),"Fujian Province")</f>
        <v>Fujian Province</v>
      </c>
      <c r="C2132" s="1" t="s">
        <v>1908</v>
      </c>
      <c r="D2132" s="1" t="str">
        <f>IFERROR(__xludf.DUMMYFUNCTION("GOOGLETRANSLATE(C2132, ""zh-CN"", ""en"")"),"Luzhou")</f>
        <v>Luzhou</v>
      </c>
      <c r="E2132" s="1" t="s">
        <v>1961</v>
      </c>
      <c r="F2132" s="1" t="str">
        <f>IFERROR(__xludf.DUMMYFUNCTION("GOOGLETRANSLATE(E2132, ""zh-CN"", ""en"")"),"Hejiang County")</f>
        <v>Hejiang County</v>
      </c>
      <c r="G2132" s="1">
        <v>5.10522E11</v>
      </c>
    </row>
    <row r="2133">
      <c r="A2133" s="1" t="s">
        <v>1904</v>
      </c>
      <c r="B2133" s="1" t="str">
        <f>IFERROR(__xludf.DUMMYFUNCTION("GOOGLETRANSLATE(A2059, ""zh-CN"", ""en"")"),"Fujian Province")</f>
        <v>Fujian Province</v>
      </c>
      <c r="C2133" s="1" t="s">
        <v>1908</v>
      </c>
      <c r="D2133" s="1" t="str">
        <f>IFERROR(__xludf.DUMMYFUNCTION("GOOGLETRANSLATE(C2133, ""zh-CN"", ""en"")"),"Luzhou")</f>
        <v>Luzhou</v>
      </c>
      <c r="E2133" s="1" t="s">
        <v>1962</v>
      </c>
      <c r="F2133" s="1" t="str">
        <f>IFERROR(__xludf.DUMMYFUNCTION("GOOGLETRANSLATE(E2133, ""zh-CN"", ""en"")"),"Xuyong County")</f>
        <v>Xuyong County</v>
      </c>
      <c r="G2133" s="1">
        <v>5.10524E11</v>
      </c>
    </row>
    <row r="2134">
      <c r="A2134" s="1" t="s">
        <v>1904</v>
      </c>
      <c r="B2134" s="1" t="str">
        <f>IFERROR(__xludf.DUMMYFUNCTION("GOOGLETRANSLATE(A2060, ""zh-CN"", ""en"")"),"Fujian Province")</f>
        <v>Fujian Province</v>
      </c>
      <c r="C2134" s="1" t="s">
        <v>1908</v>
      </c>
      <c r="D2134" s="1" t="str">
        <f>IFERROR(__xludf.DUMMYFUNCTION("GOOGLETRANSLATE(C2134, ""zh-CN"", ""en"")"),"Luzhou")</f>
        <v>Luzhou</v>
      </c>
      <c r="E2134" s="1" t="s">
        <v>1963</v>
      </c>
      <c r="F2134" s="1" t="str">
        <f>IFERROR(__xludf.DUMMYFUNCTION("GOOGLETRANSLATE(E2134, ""zh-CN"", ""en"")"),"Gulin County")</f>
        <v>Gulin County</v>
      </c>
      <c r="G2134" s="1">
        <v>5.10525E11</v>
      </c>
    </row>
    <row r="2135">
      <c r="A2135" s="1" t="s">
        <v>1904</v>
      </c>
      <c r="B2135" s="1" t="str">
        <f>IFERROR(__xludf.DUMMYFUNCTION("GOOGLETRANSLATE(A2061, ""zh-CN"", ""en"")"),"Fujian Province")</f>
        <v>Fujian Province</v>
      </c>
      <c r="C2135" s="1" t="s">
        <v>1909</v>
      </c>
      <c r="D2135" s="1" t="str">
        <f>IFERROR(__xludf.DUMMYFUNCTION("GOOGLETRANSLATE(C2135, ""zh-CN"", ""en"")"),"Deyang City")</f>
        <v>Deyang City</v>
      </c>
      <c r="E2135" s="1" t="s">
        <v>24</v>
      </c>
      <c r="F2135" s="1" t="str">
        <f>IFERROR(__xludf.DUMMYFUNCTION("GOOGLETRANSLATE(E2135, ""zh-CN"", ""en"")"),"City area")</f>
        <v>City area</v>
      </c>
      <c r="G2135" s="1">
        <v>5.10601E11</v>
      </c>
    </row>
    <row r="2136">
      <c r="A2136" s="1" t="s">
        <v>1904</v>
      </c>
      <c r="B2136" s="1" t="str">
        <f>IFERROR(__xludf.DUMMYFUNCTION("GOOGLETRANSLATE(A2062, ""zh-CN"", ""en"")"),"Fujian Province")</f>
        <v>Fujian Province</v>
      </c>
      <c r="C2136" s="1" t="s">
        <v>1909</v>
      </c>
      <c r="D2136" s="1" t="str">
        <f>IFERROR(__xludf.DUMMYFUNCTION("GOOGLETRANSLATE(C2136, ""zh-CN"", ""en"")"),"Deyang City")</f>
        <v>Deyang City</v>
      </c>
      <c r="E2136" s="1" t="s">
        <v>1964</v>
      </c>
      <c r="F2136" s="1" t="str">
        <f>IFERROR(__xludf.DUMMYFUNCTION("GOOGLETRANSLATE(E2136, ""zh-CN"", ""en"")"),"Jingyang District")</f>
        <v>Jingyang District</v>
      </c>
      <c r="G2136" s="1">
        <v>5.10603E11</v>
      </c>
    </row>
    <row r="2137">
      <c r="A2137" s="1" t="s">
        <v>1904</v>
      </c>
      <c r="B2137" s="1" t="str">
        <f>IFERROR(__xludf.DUMMYFUNCTION("GOOGLETRANSLATE(A2063, ""zh-CN"", ""en"")"),"Fujian Province")</f>
        <v>Fujian Province</v>
      </c>
      <c r="C2137" s="1" t="s">
        <v>1909</v>
      </c>
      <c r="D2137" s="1" t="str">
        <f>IFERROR(__xludf.DUMMYFUNCTION("GOOGLETRANSLATE(C2137, ""zh-CN"", ""en"")"),"Deyang City")</f>
        <v>Deyang City</v>
      </c>
      <c r="E2137" s="1" t="s">
        <v>1965</v>
      </c>
      <c r="F2137" s="1" t="str">
        <f>IFERROR(__xludf.DUMMYFUNCTION("GOOGLETRANSLATE(E2137, ""zh-CN"", ""en"")"),"Luojiang District")</f>
        <v>Luojiang District</v>
      </c>
      <c r="G2137" s="1">
        <v>5.10604E11</v>
      </c>
    </row>
    <row r="2138">
      <c r="A2138" s="1" t="s">
        <v>1904</v>
      </c>
      <c r="B2138" s="1" t="str">
        <f>IFERROR(__xludf.DUMMYFUNCTION("GOOGLETRANSLATE(A2064, ""zh-CN"", ""en"")"),"Fujian Province")</f>
        <v>Fujian Province</v>
      </c>
      <c r="C2138" s="1" t="s">
        <v>1909</v>
      </c>
      <c r="D2138" s="1" t="str">
        <f>IFERROR(__xludf.DUMMYFUNCTION("GOOGLETRANSLATE(C2138, ""zh-CN"", ""en"")"),"Deyang City")</f>
        <v>Deyang City</v>
      </c>
      <c r="E2138" s="1" t="s">
        <v>1966</v>
      </c>
      <c r="F2138" s="1" t="str">
        <f>IFERROR(__xludf.DUMMYFUNCTION("GOOGLETRANSLATE(E2138, ""zh-CN"", ""en"")"),"Zhongjiang County")</f>
        <v>Zhongjiang County</v>
      </c>
      <c r="G2138" s="1">
        <v>5.10623E11</v>
      </c>
    </row>
    <row r="2139">
      <c r="A2139" s="1" t="s">
        <v>1904</v>
      </c>
      <c r="B2139" s="1" t="str">
        <f>IFERROR(__xludf.DUMMYFUNCTION("GOOGLETRANSLATE(A2065, ""zh-CN"", ""en"")"),"Fujian Province")</f>
        <v>Fujian Province</v>
      </c>
      <c r="C2139" s="1" t="s">
        <v>1909</v>
      </c>
      <c r="D2139" s="1" t="str">
        <f>IFERROR(__xludf.DUMMYFUNCTION("GOOGLETRANSLATE(C2139, ""zh-CN"", ""en"")"),"Deyang City")</f>
        <v>Deyang City</v>
      </c>
      <c r="E2139" s="1" t="s">
        <v>1967</v>
      </c>
      <c r="F2139" s="1" t="str">
        <f>IFERROR(__xludf.DUMMYFUNCTION("GOOGLETRANSLATE(E2139, ""zh-CN"", ""en"")"),"Guanghan City")</f>
        <v>Guanghan City</v>
      </c>
      <c r="G2139" s="1">
        <v>5.10681E11</v>
      </c>
    </row>
    <row r="2140">
      <c r="A2140" s="1" t="s">
        <v>1904</v>
      </c>
      <c r="B2140" s="1" t="str">
        <f>IFERROR(__xludf.DUMMYFUNCTION("GOOGLETRANSLATE(A2066, ""zh-CN"", ""en"")"),"Fujian Province")</f>
        <v>Fujian Province</v>
      </c>
      <c r="C2140" s="1" t="s">
        <v>1909</v>
      </c>
      <c r="D2140" s="1" t="str">
        <f>IFERROR(__xludf.DUMMYFUNCTION("GOOGLETRANSLATE(C2140, ""zh-CN"", ""en"")"),"Deyang City")</f>
        <v>Deyang City</v>
      </c>
      <c r="E2140" s="1" t="s">
        <v>1968</v>
      </c>
      <c r="F2140" s="1" t="str">
        <f>IFERROR(__xludf.DUMMYFUNCTION("GOOGLETRANSLATE(E2140, ""zh-CN"", ""en"")"),"Shifang City")</f>
        <v>Shifang City</v>
      </c>
      <c r="G2140" s="1">
        <v>5.10682E11</v>
      </c>
    </row>
    <row r="2141">
      <c r="A2141" s="1" t="s">
        <v>1904</v>
      </c>
      <c r="B2141" s="1" t="str">
        <f>IFERROR(__xludf.DUMMYFUNCTION("GOOGLETRANSLATE(A2067, ""zh-CN"", ""en"")"),"Fujian Province")</f>
        <v>Fujian Province</v>
      </c>
      <c r="C2141" s="1" t="s">
        <v>1909</v>
      </c>
      <c r="D2141" s="1" t="str">
        <f>IFERROR(__xludf.DUMMYFUNCTION("GOOGLETRANSLATE(C2141, ""zh-CN"", ""en"")"),"Deyang City")</f>
        <v>Deyang City</v>
      </c>
      <c r="E2141" s="1" t="s">
        <v>1969</v>
      </c>
      <c r="F2141" s="1" t="str">
        <f>IFERROR(__xludf.DUMMYFUNCTION("GOOGLETRANSLATE(E2141, ""zh-CN"", ""en"")"),"Mianzhu City")</f>
        <v>Mianzhu City</v>
      </c>
      <c r="G2141" s="1">
        <v>5.10683E11</v>
      </c>
    </row>
    <row r="2142">
      <c r="A2142" s="1" t="s">
        <v>1904</v>
      </c>
      <c r="B2142" s="1" t="str">
        <f>IFERROR(__xludf.DUMMYFUNCTION("GOOGLETRANSLATE(A2068, ""zh-CN"", ""en"")"),"Fujian Province")</f>
        <v>Fujian Province</v>
      </c>
      <c r="C2142" s="1" t="s">
        <v>1910</v>
      </c>
      <c r="D2142" s="1" t="str">
        <f>IFERROR(__xludf.DUMMYFUNCTION("GOOGLETRANSLATE(C2142, ""zh-CN"", ""en"")"),"Mianyang City")</f>
        <v>Mianyang City</v>
      </c>
      <c r="E2142" s="1" t="s">
        <v>24</v>
      </c>
      <c r="F2142" s="1" t="str">
        <f>IFERROR(__xludf.DUMMYFUNCTION("GOOGLETRANSLATE(E2142, ""zh-CN"", ""en"")"),"City area")</f>
        <v>City area</v>
      </c>
      <c r="G2142" s="1">
        <v>5.10701E11</v>
      </c>
    </row>
    <row r="2143">
      <c r="A2143" s="1" t="s">
        <v>1904</v>
      </c>
      <c r="B2143" s="1" t="str">
        <f>IFERROR(__xludf.DUMMYFUNCTION("GOOGLETRANSLATE(A2069, ""zh-CN"", ""en"")"),"Fujian Province")</f>
        <v>Fujian Province</v>
      </c>
      <c r="C2143" s="1" t="s">
        <v>1910</v>
      </c>
      <c r="D2143" s="1" t="str">
        <f>IFERROR(__xludf.DUMMYFUNCTION("GOOGLETRANSLATE(C2143, ""zh-CN"", ""en"")"),"Mianyang City")</f>
        <v>Mianyang City</v>
      </c>
      <c r="E2143" s="1" t="s">
        <v>1970</v>
      </c>
      <c r="F2143" s="1" t="str">
        <f>IFERROR(__xludf.DUMMYFUNCTION("GOOGLETRANSLATE(E2143, ""zh-CN"", ""en"")"),"Wucheng District")</f>
        <v>Wucheng District</v>
      </c>
      <c r="G2143" s="1">
        <v>5.10703E11</v>
      </c>
    </row>
    <row r="2144">
      <c r="A2144" s="1" t="s">
        <v>1904</v>
      </c>
      <c r="B2144" s="1" t="str">
        <f>IFERROR(__xludf.DUMMYFUNCTION("GOOGLETRANSLATE(A2070, ""zh-CN"", ""en"")"),"Fujian Province")</f>
        <v>Fujian Province</v>
      </c>
      <c r="C2144" s="1" t="s">
        <v>1910</v>
      </c>
      <c r="D2144" s="1" t="str">
        <f>IFERROR(__xludf.DUMMYFUNCTION("GOOGLETRANSLATE(C2144, ""zh-CN"", ""en"")"),"Mianyang City")</f>
        <v>Mianyang City</v>
      </c>
      <c r="E2144" s="1" t="s">
        <v>1971</v>
      </c>
      <c r="F2144" s="1" t="str">
        <f>IFERROR(__xludf.DUMMYFUNCTION("GOOGLETRANSLATE(E2144, ""zh-CN"", ""en"")"),"Youxian District")</f>
        <v>Youxian District</v>
      </c>
      <c r="G2144" s="1">
        <v>5.10704E11</v>
      </c>
    </row>
    <row r="2145">
      <c r="A2145" s="1" t="s">
        <v>1904</v>
      </c>
      <c r="B2145" s="1" t="str">
        <f>IFERROR(__xludf.DUMMYFUNCTION("GOOGLETRANSLATE(A2071, ""zh-CN"", ""en"")"),"Sichuan Province")</f>
        <v>Sichuan Province</v>
      </c>
      <c r="C2145" s="1" t="s">
        <v>1910</v>
      </c>
      <c r="D2145" s="1" t="str">
        <f>IFERROR(__xludf.DUMMYFUNCTION("GOOGLETRANSLATE(C2145, ""zh-CN"", ""en"")"),"Mianyang City")</f>
        <v>Mianyang City</v>
      </c>
      <c r="E2145" s="1" t="s">
        <v>1972</v>
      </c>
      <c r="F2145" s="1" t="str">
        <f>IFERROR(__xludf.DUMMYFUNCTION("GOOGLETRANSLATE(E2145, ""zh-CN"", ""en"")"),"Anzhou District")</f>
        <v>Anzhou District</v>
      </c>
      <c r="G2145" s="1">
        <v>5.10705E11</v>
      </c>
    </row>
    <row r="2146">
      <c r="A2146" s="1" t="s">
        <v>1904</v>
      </c>
      <c r="B2146" s="1" t="str">
        <f>IFERROR(__xludf.DUMMYFUNCTION("GOOGLETRANSLATE(A2072, ""zh-CN"", ""en"")"),"Sichuan Province")</f>
        <v>Sichuan Province</v>
      </c>
      <c r="C2146" s="1" t="s">
        <v>1910</v>
      </c>
      <c r="D2146" s="1" t="str">
        <f>IFERROR(__xludf.DUMMYFUNCTION("GOOGLETRANSLATE(C2146, ""zh-CN"", ""en"")"),"Mianyang City")</f>
        <v>Mianyang City</v>
      </c>
      <c r="E2146" s="1" t="s">
        <v>1973</v>
      </c>
      <c r="F2146" s="1" t="str">
        <f>IFERROR(__xludf.DUMMYFUNCTION("GOOGLETRANSLATE(E2146, ""zh-CN"", ""en"")"),"Three counties")</f>
        <v>Three counties</v>
      </c>
      <c r="G2146" s="1">
        <v>5.10722E11</v>
      </c>
    </row>
    <row r="2147">
      <c r="A2147" s="1" t="s">
        <v>1904</v>
      </c>
      <c r="B2147" s="1" t="str">
        <f>IFERROR(__xludf.DUMMYFUNCTION("GOOGLETRANSLATE(A2073, ""zh-CN"", ""en"")"),"Sichuan Province")</f>
        <v>Sichuan Province</v>
      </c>
      <c r="C2147" s="1" t="s">
        <v>1910</v>
      </c>
      <c r="D2147" s="1" t="str">
        <f>IFERROR(__xludf.DUMMYFUNCTION("GOOGLETRANSLATE(C2147, ""zh-CN"", ""en"")"),"Mianyang City")</f>
        <v>Mianyang City</v>
      </c>
      <c r="E2147" s="1" t="s">
        <v>1974</v>
      </c>
      <c r="F2147" s="1" t="str">
        <f>IFERROR(__xludf.DUMMYFUNCTION("GOOGLETRANSLATE(E2147, ""zh-CN"", ""en"")"),"Yanting County")</f>
        <v>Yanting County</v>
      </c>
      <c r="G2147" s="1">
        <v>5.10723E11</v>
      </c>
    </row>
    <row r="2148">
      <c r="A2148" s="1" t="s">
        <v>1904</v>
      </c>
      <c r="B2148" s="1" t="str">
        <f>IFERROR(__xludf.DUMMYFUNCTION("GOOGLETRANSLATE(A2074, ""zh-CN"", ""en"")"),"Sichuan Province")</f>
        <v>Sichuan Province</v>
      </c>
      <c r="C2148" s="1" t="s">
        <v>1910</v>
      </c>
      <c r="D2148" s="1" t="str">
        <f>IFERROR(__xludf.DUMMYFUNCTION("GOOGLETRANSLATE(C2148, ""zh-CN"", ""en"")"),"Mianyang City")</f>
        <v>Mianyang City</v>
      </c>
      <c r="E2148" s="1" t="s">
        <v>1975</v>
      </c>
      <c r="F2148" s="1" t="str">
        <f>IFERROR(__xludf.DUMMYFUNCTION("GOOGLETRANSLATE(E2148, ""zh-CN"", ""en"")"),"Ziyi County")</f>
        <v>Ziyi County</v>
      </c>
      <c r="G2148" s="1">
        <v>5.10725E11</v>
      </c>
    </row>
    <row r="2149">
      <c r="A2149" s="1" t="s">
        <v>1904</v>
      </c>
      <c r="B2149" s="1" t="str">
        <f>IFERROR(__xludf.DUMMYFUNCTION("GOOGLETRANSLATE(A2075, ""zh-CN"", ""en"")"),"Sichuan Province")</f>
        <v>Sichuan Province</v>
      </c>
      <c r="C2149" s="1" t="s">
        <v>1910</v>
      </c>
      <c r="D2149" s="1" t="str">
        <f>IFERROR(__xludf.DUMMYFUNCTION("GOOGLETRANSLATE(C2149, ""zh-CN"", ""en"")"),"Mianyang City")</f>
        <v>Mianyang City</v>
      </c>
      <c r="E2149" s="1" t="s">
        <v>1976</v>
      </c>
      <c r="F2149" s="1" t="str">
        <f>IFERROR(__xludf.DUMMYFUNCTION("GOOGLETRANSLATE(E2149, ""zh-CN"", ""en"")"),"Beichuan Qiang Autonomous County")</f>
        <v>Beichuan Qiang Autonomous County</v>
      </c>
      <c r="G2149" s="1">
        <v>5.10726E11</v>
      </c>
    </row>
    <row r="2150">
      <c r="A2150" s="1" t="s">
        <v>1904</v>
      </c>
      <c r="B2150" s="1" t="str">
        <f>IFERROR(__xludf.DUMMYFUNCTION("GOOGLETRANSLATE(A2076, ""zh-CN"", ""en"")"),"Sichuan Province")</f>
        <v>Sichuan Province</v>
      </c>
      <c r="C2150" s="1" t="s">
        <v>1910</v>
      </c>
      <c r="D2150" s="1" t="str">
        <f>IFERROR(__xludf.DUMMYFUNCTION("GOOGLETRANSLATE(C2150, ""zh-CN"", ""en"")"),"Mianyang City")</f>
        <v>Mianyang City</v>
      </c>
      <c r="E2150" s="1" t="s">
        <v>1977</v>
      </c>
      <c r="F2150" s="1" t="str">
        <f>IFERROR(__xludf.DUMMYFUNCTION("GOOGLETRANSLATE(E2150, ""zh-CN"", ""en"")"),"Pingwu County")</f>
        <v>Pingwu County</v>
      </c>
      <c r="G2150" s="1">
        <v>5.10727E11</v>
      </c>
    </row>
    <row r="2151">
      <c r="A2151" s="1" t="s">
        <v>1904</v>
      </c>
      <c r="B2151" s="1" t="str">
        <f>IFERROR(__xludf.DUMMYFUNCTION("GOOGLETRANSLATE(A2077, ""zh-CN"", ""en"")"),"Sichuan Province")</f>
        <v>Sichuan Province</v>
      </c>
      <c r="C2151" s="1" t="s">
        <v>1910</v>
      </c>
      <c r="D2151" s="1" t="str">
        <f>IFERROR(__xludf.DUMMYFUNCTION("GOOGLETRANSLATE(C2151, ""zh-CN"", ""en"")"),"Mianyang City")</f>
        <v>Mianyang City</v>
      </c>
      <c r="E2151" s="1" t="s">
        <v>1978</v>
      </c>
      <c r="F2151" s="1" t="str">
        <f>IFERROR(__xludf.DUMMYFUNCTION("GOOGLETRANSLATE(E2151, ""zh-CN"", ""en"")"),"Jiangyou City")</f>
        <v>Jiangyou City</v>
      </c>
      <c r="G2151" s="1">
        <v>5.10781E11</v>
      </c>
    </row>
    <row r="2152">
      <c r="A2152" s="1" t="s">
        <v>1904</v>
      </c>
      <c r="B2152" s="1" t="str">
        <f>IFERROR(__xludf.DUMMYFUNCTION("GOOGLETRANSLATE(A2078, ""zh-CN"", ""en"")"),"Sichuan Province")</f>
        <v>Sichuan Province</v>
      </c>
      <c r="C2152" s="1" t="s">
        <v>1911</v>
      </c>
      <c r="D2152" s="1" t="str">
        <f>IFERROR(__xludf.DUMMYFUNCTION("GOOGLETRANSLATE(C2152, ""zh-CN"", ""en"")"),"Guangyuan City")</f>
        <v>Guangyuan City</v>
      </c>
      <c r="E2152" s="1" t="s">
        <v>24</v>
      </c>
      <c r="F2152" s="1" t="str">
        <f>IFERROR(__xludf.DUMMYFUNCTION("GOOGLETRANSLATE(E2152, ""zh-CN"", ""en"")"),"City area")</f>
        <v>City area</v>
      </c>
      <c r="G2152" s="1">
        <v>5.10801E11</v>
      </c>
    </row>
    <row r="2153">
      <c r="A2153" s="1" t="s">
        <v>1904</v>
      </c>
      <c r="B2153" s="1" t="str">
        <f>IFERROR(__xludf.DUMMYFUNCTION("GOOGLETRANSLATE(A2079, ""zh-CN"", ""en"")"),"Sichuan Province")</f>
        <v>Sichuan Province</v>
      </c>
      <c r="C2153" s="1" t="s">
        <v>1911</v>
      </c>
      <c r="D2153" s="1" t="str">
        <f>IFERROR(__xludf.DUMMYFUNCTION("GOOGLETRANSLATE(C2153, ""zh-CN"", ""en"")"),"Guangyuan City")</f>
        <v>Guangyuan City</v>
      </c>
      <c r="E2153" s="1" t="s">
        <v>1979</v>
      </c>
      <c r="F2153" s="1" t="str">
        <f>IFERROR(__xludf.DUMMYFUNCTION("GOOGLETRANSLATE(E2153, ""zh-CN"", ""en"")"),"Lizhou")</f>
        <v>Lizhou</v>
      </c>
      <c r="G2153" s="1">
        <v>5.10802E11</v>
      </c>
    </row>
    <row r="2154">
      <c r="A2154" s="1" t="s">
        <v>1904</v>
      </c>
      <c r="B2154" s="1" t="str">
        <f>IFERROR(__xludf.DUMMYFUNCTION("GOOGLETRANSLATE(A2080, ""zh-CN"", ""en"")"),"Sichuan Province")</f>
        <v>Sichuan Province</v>
      </c>
      <c r="C2154" s="1" t="s">
        <v>1911</v>
      </c>
      <c r="D2154" s="1" t="str">
        <f>IFERROR(__xludf.DUMMYFUNCTION("GOOGLETRANSLATE(C2154, ""zh-CN"", ""en"")"),"Guangyuan City")</f>
        <v>Guangyuan City</v>
      </c>
      <c r="E2154" s="1" t="s">
        <v>1980</v>
      </c>
      <c r="F2154" s="1" t="str">
        <f>IFERROR(__xludf.DUMMYFUNCTION("GOOGLETRANSLATE(E2154, ""zh-CN"", ""en"")"),"Zhaohua District")</f>
        <v>Zhaohua District</v>
      </c>
      <c r="G2154" s="1">
        <v>5.10811E11</v>
      </c>
    </row>
    <row r="2155">
      <c r="A2155" s="1" t="s">
        <v>1904</v>
      </c>
      <c r="B2155" s="1" t="str">
        <f>IFERROR(__xludf.DUMMYFUNCTION("GOOGLETRANSLATE(A2081, ""zh-CN"", ""en"")"),"Sichuan Province")</f>
        <v>Sichuan Province</v>
      </c>
      <c r="C2155" s="1" t="s">
        <v>1911</v>
      </c>
      <c r="D2155" s="1" t="str">
        <f>IFERROR(__xludf.DUMMYFUNCTION("GOOGLETRANSLATE(C2155, ""zh-CN"", ""en"")"),"Guangyuan City")</f>
        <v>Guangyuan City</v>
      </c>
      <c r="E2155" s="1" t="s">
        <v>1981</v>
      </c>
      <c r="F2155" s="1" t="str">
        <f>IFERROR(__xludf.DUMMYFUNCTION("GOOGLETRANSLATE(E2155, ""zh-CN"", ""en"")"),"Chaotic area")</f>
        <v>Chaotic area</v>
      </c>
      <c r="G2155" s="1">
        <v>5.10812E11</v>
      </c>
    </row>
    <row r="2156">
      <c r="A2156" s="1" t="s">
        <v>1904</v>
      </c>
      <c r="B2156" s="1" t="str">
        <f>IFERROR(__xludf.DUMMYFUNCTION("GOOGLETRANSLATE(A2082, ""zh-CN"", ""en"")"),"Sichuan Province")</f>
        <v>Sichuan Province</v>
      </c>
      <c r="C2156" s="1" t="s">
        <v>1911</v>
      </c>
      <c r="D2156" s="1" t="str">
        <f>IFERROR(__xludf.DUMMYFUNCTION("GOOGLETRANSLATE(C2156, ""zh-CN"", ""en"")"),"Guangyuan City")</f>
        <v>Guangyuan City</v>
      </c>
      <c r="E2156" s="1" t="s">
        <v>1982</v>
      </c>
      <c r="F2156" s="1" t="str">
        <f>IFERROR(__xludf.DUMMYFUNCTION("GOOGLETRANSLATE(E2156, ""zh-CN"", ""en"")"),"Wangcang County")</f>
        <v>Wangcang County</v>
      </c>
      <c r="G2156" s="1">
        <v>5.10821E11</v>
      </c>
    </row>
    <row r="2157">
      <c r="A2157" s="1" t="s">
        <v>1904</v>
      </c>
      <c r="B2157" s="1" t="str">
        <f>IFERROR(__xludf.DUMMYFUNCTION("GOOGLETRANSLATE(A2083, ""zh-CN"", ""en"")"),"Sichuan Province")</f>
        <v>Sichuan Province</v>
      </c>
      <c r="C2157" s="1" t="s">
        <v>1911</v>
      </c>
      <c r="D2157" s="1" t="str">
        <f>IFERROR(__xludf.DUMMYFUNCTION("GOOGLETRANSLATE(C2157, ""zh-CN"", ""en"")"),"Guangyuan City")</f>
        <v>Guangyuan City</v>
      </c>
      <c r="E2157" s="1" t="s">
        <v>1983</v>
      </c>
      <c r="F2157" s="1" t="str">
        <f>IFERROR(__xludf.DUMMYFUNCTION("GOOGLETRANSLATE(E2157, ""zh-CN"", ""en"")"),"Qingchuan County")</f>
        <v>Qingchuan County</v>
      </c>
      <c r="G2157" s="1">
        <v>5.10822E11</v>
      </c>
    </row>
    <row r="2158">
      <c r="A2158" s="1" t="s">
        <v>1904</v>
      </c>
      <c r="B2158" s="1" t="str">
        <f>IFERROR(__xludf.DUMMYFUNCTION("GOOGLETRANSLATE(A2084, ""zh-CN"", ""en"")"),"Sichuan Province")</f>
        <v>Sichuan Province</v>
      </c>
      <c r="C2158" s="1" t="s">
        <v>1911</v>
      </c>
      <c r="D2158" s="1" t="str">
        <f>IFERROR(__xludf.DUMMYFUNCTION("GOOGLETRANSLATE(C2158, ""zh-CN"", ""en"")"),"Guangyuan City")</f>
        <v>Guangyuan City</v>
      </c>
      <c r="E2158" s="1" t="s">
        <v>1984</v>
      </c>
      <c r="F2158" s="1" t="str">
        <f>IFERROR(__xludf.DUMMYFUNCTION("GOOGLETRANSLATE(E2158, ""zh-CN"", ""en"")"),"Jiange County")</f>
        <v>Jiange County</v>
      </c>
      <c r="G2158" s="1">
        <v>5.10823E11</v>
      </c>
    </row>
    <row r="2159">
      <c r="A2159" s="1" t="s">
        <v>1904</v>
      </c>
      <c r="B2159" s="1" t="str">
        <f>IFERROR(__xludf.DUMMYFUNCTION("GOOGLETRANSLATE(A2085, ""zh-CN"", ""en"")"),"Sichuan Province")</f>
        <v>Sichuan Province</v>
      </c>
      <c r="C2159" s="1" t="s">
        <v>1911</v>
      </c>
      <c r="D2159" s="1" t="str">
        <f>IFERROR(__xludf.DUMMYFUNCTION("GOOGLETRANSLATE(C2159, ""zh-CN"", ""en"")"),"Guangyuan City")</f>
        <v>Guangyuan City</v>
      </c>
      <c r="E2159" s="1" t="s">
        <v>1985</v>
      </c>
      <c r="F2159" s="1" t="str">
        <f>IFERROR(__xludf.DUMMYFUNCTION("GOOGLETRANSLATE(E2159, ""zh-CN"", ""en"")"),"Cangxi County")</f>
        <v>Cangxi County</v>
      </c>
      <c r="G2159" s="1">
        <v>5.10824E11</v>
      </c>
    </row>
    <row r="2160">
      <c r="A2160" s="1" t="s">
        <v>1904</v>
      </c>
      <c r="B2160" s="1" t="str">
        <f>IFERROR(__xludf.DUMMYFUNCTION("GOOGLETRANSLATE(A2086, ""zh-CN"", ""en"")"),"Sichuan Province")</f>
        <v>Sichuan Province</v>
      </c>
      <c r="C2160" s="1" t="s">
        <v>1912</v>
      </c>
      <c r="D2160" s="1" t="str">
        <f>IFERROR(__xludf.DUMMYFUNCTION("GOOGLETRANSLATE(C2160, ""zh-CN"", ""en"")"),"Suining")</f>
        <v>Suining</v>
      </c>
      <c r="E2160" s="1" t="s">
        <v>24</v>
      </c>
      <c r="F2160" s="1" t="str">
        <f>IFERROR(__xludf.DUMMYFUNCTION("GOOGLETRANSLATE(E2160, ""zh-CN"", ""en"")"),"City area")</f>
        <v>City area</v>
      </c>
      <c r="G2160" s="1">
        <v>5.10901E11</v>
      </c>
    </row>
    <row r="2161">
      <c r="A2161" s="1" t="s">
        <v>1904</v>
      </c>
      <c r="B2161" s="1" t="str">
        <f>IFERROR(__xludf.DUMMYFUNCTION("GOOGLETRANSLATE(A2087, ""zh-CN"", ""en"")"),"Sichuan Province")</f>
        <v>Sichuan Province</v>
      </c>
      <c r="C2161" s="1" t="s">
        <v>1912</v>
      </c>
      <c r="D2161" s="1" t="str">
        <f>IFERROR(__xludf.DUMMYFUNCTION("GOOGLETRANSLATE(C2161, ""zh-CN"", ""en"")"),"Suining")</f>
        <v>Suining</v>
      </c>
      <c r="E2161" s="1" t="s">
        <v>1986</v>
      </c>
      <c r="F2161" s="1" t="str">
        <f>IFERROR(__xludf.DUMMYFUNCTION("GOOGLETRANSLATE(E2161, ""zh-CN"", ""en"")"),"Payhan area")</f>
        <v>Payhan area</v>
      </c>
      <c r="G2161" s="1">
        <v>5.10903E11</v>
      </c>
    </row>
    <row r="2162">
      <c r="A2162" s="1" t="s">
        <v>1904</v>
      </c>
      <c r="B2162" s="1" t="str">
        <f>IFERROR(__xludf.DUMMYFUNCTION("GOOGLETRANSLATE(A2088, ""zh-CN"", ""en"")"),"Sichuan Province")</f>
        <v>Sichuan Province</v>
      </c>
      <c r="C2162" s="1" t="s">
        <v>1912</v>
      </c>
      <c r="D2162" s="1" t="str">
        <f>IFERROR(__xludf.DUMMYFUNCTION("GOOGLETRANSLATE(C2162, ""zh-CN"", ""en"")"),"Suining")</f>
        <v>Suining</v>
      </c>
      <c r="E2162" s="1" t="s">
        <v>1987</v>
      </c>
      <c r="F2162" s="1" t="str">
        <f>IFERROR(__xludf.DUMMYFUNCTION("GOOGLETRANSLATE(E2162, ""zh-CN"", ""en"")"),"Residential area")</f>
        <v>Residential area</v>
      </c>
      <c r="G2162" s="1">
        <v>5.10904E11</v>
      </c>
    </row>
    <row r="2163">
      <c r="A2163" s="1" t="s">
        <v>1904</v>
      </c>
      <c r="B2163" s="1" t="str">
        <f>IFERROR(__xludf.DUMMYFUNCTION("GOOGLETRANSLATE(A2089, ""zh-CN"", ""en"")"),"Sichuan Province")</f>
        <v>Sichuan Province</v>
      </c>
      <c r="C2163" s="1" t="s">
        <v>1912</v>
      </c>
      <c r="D2163" s="1" t="str">
        <f>IFERROR(__xludf.DUMMYFUNCTION("GOOGLETRANSLATE(C2163, ""zh-CN"", ""en"")"),"Suining")</f>
        <v>Suining</v>
      </c>
      <c r="E2163" s="1" t="s">
        <v>1988</v>
      </c>
      <c r="F2163" s="1" t="str">
        <f>IFERROR(__xludf.DUMMYFUNCTION("GOOGLETRANSLATE(E2163, ""zh-CN"", ""en"")"),"Pengxi County")</f>
        <v>Pengxi County</v>
      </c>
      <c r="G2163" s="1">
        <v>5.10921E11</v>
      </c>
    </row>
    <row r="2164">
      <c r="A2164" s="1" t="s">
        <v>1904</v>
      </c>
      <c r="B2164" s="1" t="str">
        <f>IFERROR(__xludf.DUMMYFUNCTION("GOOGLETRANSLATE(A2090, ""zh-CN"", ""en"")"),"Sichuan Province")</f>
        <v>Sichuan Province</v>
      </c>
      <c r="C2164" s="1" t="s">
        <v>1912</v>
      </c>
      <c r="D2164" s="1" t="str">
        <f>IFERROR(__xludf.DUMMYFUNCTION("GOOGLETRANSLATE(C2164, ""zh-CN"", ""en"")"),"Suining")</f>
        <v>Suining</v>
      </c>
      <c r="E2164" s="1" t="s">
        <v>1989</v>
      </c>
      <c r="F2164" s="1" t="str">
        <f>IFERROR(__xludf.DUMMYFUNCTION("GOOGLETRANSLATE(E2164, ""zh-CN"", ""en"")"),"Daying County")</f>
        <v>Daying County</v>
      </c>
      <c r="G2164" s="1">
        <v>5.10923E11</v>
      </c>
    </row>
    <row r="2165">
      <c r="A2165" s="1" t="s">
        <v>1904</v>
      </c>
      <c r="B2165" s="1" t="str">
        <f>IFERROR(__xludf.DUMMYFUNCTION("GOOGLETRANSLATE(A2091, ""zh-CN"", ""en"")"),"Sichuan Province")</f>
        <v>Sichuan Province</v>
      </c>
      <c r="C2165" s="1" t="s">
        <v>1912</v>
      </c>
      <c r="D2165" s="1" t="str">
        <f>IFERROR(__xludf.DUMMYFUNCTION("GOOGLETRANSLATE(C2165, ""zh-CN"", ""en"")"),"Suining")</f>
        <v>Suining</v>
      </c>
      <c r="E2165" s="1" t="s">
        <v>1990</v>
      </c>
      <c r="F2165" s="1" t="str">
        <f>IFERROR(__xludf.DUMMYFUNCTION("GOOGLETRANSLATE(E2165, ""zh-CN"", ""en"")"),"Shijiehong")</f>
        <v>Shijiehong</v>
      </c>
      <c r="G2165" s="1">
        <v>5.10981E11</v>
      </c>
    </row>
    <row r="2166">
      <c r="A2166" s="1" t="s">
        <v>1904</v>
      </c>
      <c r="B2166" s="1" t="str">
        <f>IFERROR(__xludf.DUMMYFUNCTION("GOOGLETRANSLATE(A2092, ""zh-CN"", ""en"")"),"Sichuan Province")</f>
        <v>Sichuan Province</v>
      </c>
      <c r="C2166" s="1" t="s">
        <v>1913</v>
      </c>
      <c r="D2166" s="1" t="str">
        <f>IFERROR(__xludf.DUMMYFUNCTION("GOOGLETRANSLATE(C2166, ""zh-CN"", ""en"")"),"Neijiang City")</f>
        <v>Neijiang City</v>
      </c>
      <c r="E2166" s="1" t="s">
        <v>24</v>
      </c>
      <c r="F2166" s="1" t="str">
        <f>IFERROR(__xludf.DUMMYFUNCTION("GOOGLETRANSLATE(E2166, ""zh-CN"", ""en"")"),"City area")</f>
        <v>City area</v>
      </c>
      <c r="G2166" s="1">
        <v>5.11001E11</v>
      </c>
    </row>
    <row r="2167">
      <c r="A2167" s="1" t="s">
        <v>1904</v>
      </c>
      <c r="B2167" s="1" t="str">
        <f>IFERROR(__xludf.DUMMYFUNCTION("GOOGLETRANSLATE(A2093, ""zh-CN"", ""en"")"),"Sichuan Province")</f>
        <v>Sichuan Province</v>
      </c>
      <c r="C2167" s="1" t="s">
        <v>1913</v>
      </c>
      <c r="D2167" s="1" t="str">
        <f>IFERROR(__xludf.DUMMYFUNCTION("GOOGLETRANSLATE(C2167, ""zh-CN"", ""en"")"),"Neijiang City")</f>
        <v>Neijiang City</v>
      </c>
      <c r="E2167" s="1" t="s">
        <v>1360</v>
      </c>
      <c r="F2167" s="1" t="str">
        <f>IFERROR(__xludf.DUMMYFUNCTION("GOOGLETRANSLATE(E2167, ""zh-CN"", ""en"")"),"Central area")</f>
        <v>Central area</v>
      </c>
      <c r="G2167" s="1">
        <v>5.11002E11</v>
      </c>
    </row>
    <row r="2168">
      <c r="A2168" s="1" t="s">
        <v>1904</v>
      </c>
      <c r="B2168" s="1" t="str">
        <f>IFERROR(__xludf.DUMMYFUNCTION("GOOGLETRANSLATE(A2094, ""zh-CN"", ""en"")"),"Sichuan Province")</f>
        <v>Sichuan Province</v>
      </c>
      <c r="C2168" s="1" t="s">
        <v>1913</v>
      </c>
      <c r="D2168" s="1" t="str">
        <f>IFERROR(__xludf.DUMMYFUNCTION("GOOGLETRANSLATE(C2168, ""zh-CN"", ""en"")"),"Neijiang City")</f>
        <v>Neijiang City</v>
      </c>
      <c r="E2168" s="1" t="s">
        <v>1991</v>
      </c>
      <c r="F2168" s="1" t="str">
        <f>IFERROR(__xludf.DUMMYFUNCTION("GOOGLETRANSLATE(E2168, ""zh-CN"", ""en"")"),"Dongxing District")</f>
        <v>Dongxing District</v>
      </c>
      <c r="G2168" s="1">
        <v>5.11011E11</v>
      </c>
    </row>
    <row r="2169">
      <c r="A2169" s="1" t="s">
        <v>1904</v>
      </c>
      <c r="B2169" s="1" t="str">
        <f>IFERROR(__xludf.DUMMYFUNCTION("GOOGLETRANSLATE(A2095, ""zh-CN"", ""en"")"),"Sichuan Province")</f>
        <v>Sichuan Province</v>
      </c>
      <c r="C2169" s="1" t="s">
        <v>1913</v>
      </c>
      <c r="D2169" s="1" t="str">
        <f>IFERROR(__xludf.DUMMYFUNCTION("GOOGLETRANSLATE(C2169, ""zh-CN"", ""en"")"),"Neijiang City")</f>
        <v>Neijiang City</v>
      </c>
      <c r="E2169" s="1" t="s">
        <v>1992</v>
      </c>
      <c r="F2169" s="1" t="str">
        <f>IFERROR(__xludf.DUMMYFUNCTION("GOOGLETRANSLATE(E2169, ""zh-CN"", ""en"")"),"Weiyuan County")</f>
        <v>Weiyuan County</v>
      </c>
      <c r="G2169" s="1">
        <v>5.11024E11</v>
      </c>
    </row>
    <row r="2170">
      <c r="A2170" s="1" t="s">
        <v>1904</v>
      </c>
      <c r="B2170" s="1" t="str">
        <f>IFERROR(__xludf.DUMMYFUNCTION("GOOGLETRANSLATE(A2096, ""zh-CN"", ""en"")"),"Sichuan Province")</f>
        <v>Sichuan Province</v>
      </c>
      <c r="C2170" s="1" t="s">
        <v>1913</v>
      </c>
      <c r="D2170" s="1" t="str">
        <f>IFERROR(__xludf.DUMMYFUNCTION("GOOGLETRANSLATE(C2170, ""zh-CN"", ""en"")"),"Neijiang City")</f>
        <v>Neijiang City</v>
      </c>
      <c r="E2170" s="1" t="s">
        <v>1993</v>
      </c>
      <c r="F2170" s="1" t="str">
        <f>IFERROR(__xludf.DUMMYFUNCTION("GOOGLETRANSLATE(E2170, ""zh-CN"", ""en"")"),"Zizhong County")</f>
        <v>Zizhong County</v>
      </c>
      <c r="G2170" s="1">
        <v>5.11025E11</v>
      </c>
    </row>
    <row r="2171">
      <c r="A2171" s="1" t="s">
        <v>1904</v>
      </c>
      <c r="B2171" s="1" t="str">
        <f>IFERROR(__xludf.DUMMYFUNCTION("GOOGLETRANSLATE(A2097, ""zh-CN"", ""en"")"),"Sichuan Province")</f>
        <v>Sichuan Province</v>
      </c>
      <c r="C2171" s="1" t="s">
        <v>1913</v>
      </c>
      <c r="D2171" s="1" t="str">
        <f>IFERROR(__xludf.DUMMYFUNCTION("GOOGLETRANSLATE(C2171, ""zh-CN"", ""en"")"),"Neijiang City")</f>
        <v>Neijiang City</v>
      </c>
      <c r="E2171" s="1" t="s">
        <v>1994</v>
      </c>
      <c r="F2171" s="1" t="str">
        <f>IFERROR(__xludf.DUMMYFUNCTION("GOOGLETRANSLATE(E2171, ""zh-CN"", ""en"")"),"Longchang")</f>
        <v>Longchang</v>
      </c>
      <c r="G2171" s="1">
        <v>5.11083E11</v>
      </c>
    </row>
    <row r="2172">
      <c r="A2172" s="1" t="s">
        <v>1904</v>
      </c>
      <c r="B2172" s="1" t="str">
        <f>IFERROR(__xludf.DUMMYFUNCTION("GOOGLETRANSLATE(A2098, ""zh-CN"", ""en"")"),"Sichuan Province")</f>
        <v>Sichuan Province</v>
      </c>
      <c r="C2172" s="1" t="s">
        <v>1914</v>
      </c>
      <c r="D2172" s="1" t="str">
        <f>IFERROR(__xludf.DUMMYFUNCTION("GOOGLETRANSLATE(C2172, ""zh-CN"", ""en"")"),"Leshan")</f>
        <v>Leshan</v>
      </c>
      <c r="E2172" s="1" t="s">
        <v>24</v>
      </c>
      <c r="F2172" s="1" t="str">
        <f>IFERROR(__xludf.DUMMYFUNCTION("GOOGLETRANSLATE(E2172, ""zh-CN"", ""en"")"),"City area")</f>
        <v>City area</v>
      </c>
      <c r="G2172" s="1">
        <v>5.11101E11</v>
      </c>
    </row>
    <row r="2173">
      <c r="A2173" s="1" t="s">
        <v>1904</v>
      </c>
      <c r="B2173" s="1" t="str">
        <f>IFERROR(__xludf.DUMMYFUNCTION("GOOGLETRANSLATE(A2099, ""zh-CN"", ""en"")"),"Sichuan Province")</f>
        <v>Sichuan Province</v>
      </c>
      <c r="C2173" s="1" t="s">
        <v>1914</v>
      </c>
      <c r="D2173" s="1" t="str">
        <f>IFERROR(__xludf.DUMMYFUNCTION("GOOGLETRANSLATE(C2173, ""zh-CN"", ""en"")"),"Leshan")</f>
        <v>Leshan</v>
      </c>
      <c r="E2173" s="1" t="s">
        <v>1360</v>
      </c>
      <c r="F2173" s="1" t="str">
        <f>IFERROR(__xludf.DUMMYFUNCTION("GOOGLETRANSLATE(E2173, ""zh-CN"", ""en"")"),"Central area")</f>
        <v>Central area</v>
      </c>
      <c r="G2173" s="1">
        <v>5.11102E11</v>
      </c>
    </row>
    <row r="2174">
      <c r="A2174" s="1" t="s">
        <v>1904</v>
      </c>
      <c r="B2174" s="1" t="str">
        <f>IFERROR(__xludf.DUMMYFUNCTION("GOOGLETRANSLATE(A2100, ""zh-CN"", ""en"")"),"Sichuan Province")</f>
        <v>Sichuan Province</v>
      </c>
      <c r="C2174" s="1" t="s">
        <v>1914</v>
      </c>
      <c r="D2174" s="1" t="str">
        <f>IFERROR(__xludf.DUMMYFUNCTION("GOOGLETRANSLATE(C2174, ""zh-CN"", ""en"")"),"Leshan")</f>
        <v>Leshan</v>
      </c>
      <c r="E2174" s="1" t="s">
        <v>1995</v>
      </c>
      <c r="F2174" s="1" t="str">
        <f>IFERROR(__xludf.DUMMYFUNCTION("GOOGLETRANSLATE(E2174, ""zh-CN"", ""en"")"),"Shawan District")</f>
        <v>Shawan District</v>
      </c>
      <c r="G2174" s="1">
        <v>5.11111E11</v>
      </c>
    </row>
    <row r="2175">
      <c r="A2175" s="1" t="s">
        <v>1904</v>
      </c>
      <c r="B2175" s="1" t="str">
        <f>IFERROR(__xludf.DUMMYFUNCTION("GOOGLETRANSLATE(A2101, ""zh-CN"", ""en"")"),"Sichuan Province")</f>
        <v>Sichuan Province</v>
      </c>
      <c r="C2175" s="1" t="s">
        <v>1914</v>
      </c>
      <c r="D2175" s="1" t="str">
        <f>IFERROR(__xludf.DUMMYFUNCTION("GOOGLETRANSLATE(C2175, ""zh-CN"", ""en"")"),"Leshan")</f>
        <v>Leshan</v>
      </c>
      <c r="E2175" s="1" t="s">
        <v>1996</v>
      </c>
      <c r="F2175" s="1" t="str">
        <f>IFERROR(__xludf.DUMMYFUNCTION("GOOGLETRANSLATE(E2175, ""zh-CN"", ""en"")"),"Wutongqiao District")</f>
        <v>Wutongqiao District</v>
      </c>
      <c r="G2175" s="1">
        <v>5.11112E11</v>
      </c>
    </row>
    <row r="2176">
      <c r="A2176" s="1" t="s">
        <v>1904</v>
      </c>
      <c r="B2176" s="1" t="str">
        <f>IFERROR(__xludf.DUMMYFUNCTION("GOOGLETRANSLATE(A2102, ""zh-CN"", ""en"")"),"Sichuan Province")</f>
        <v>Sichuan Province</v>
      </c>
      <c r="C2176" s="1" t="s">
        <v>1914</v>
      </c>
      <c r="D2176" s="1" t="str">
        <f>IFERROR(__xludf.DUMMYFUNCTION("GOOGLETRANSLATE(C2176, ""zh-CN"", ""en"")"),"Leshan")</f>
        <v>Leshan</v>
      </c>
      <c r="E2176" s="1" t="s">
        <v>1997</v>
      </c>
      <c r="F2176" s="1" t="str">
        <f>IFERROR(__xludf.DUMMYFUNCTION("GOOGLETRANSLATE(E2176, ""zh-CN"", ""en"")"),"Jinkouhe District")</f>
        <v>Jinkouhe District</v>
      </c>
      <c r="G2176" s="1">
        <v>5.11113E11</v>
      </c>
    </row>
    <row r="2177">
      <c r="A2177" s="1" t="s">
        <v>1904</v>
      </c>
      <c r="B2177" s="1" t="str">
        <f>IFERROR(__xludf.DUMMYFUNCTION("GOOGLETRANSLATE(A2103, ""zh-CN"", ""en"")"),"Sichuan Province")</f>
        <v>Sichuan Province</v>
      </c>
      <c r="C2177" s="1" t="s">
        <v>1914</v>
      </c>
      <c r="D2177" s="1" t="str">
        <f>IFERROR(__xludf.DUMMYFUNCTION("GOOGLETRANSLATE(C2177, ""zh-CN"", ""en"")"),"Leshan")</f>
        <v>Leshan</v>
      </c>
      <c r="E2177" s="1" t="s">
        <v>1998</v>
      </c>
      <c r="F2177" s="1" t="str">
        <f>IFERROR(__xludf.DUMMYFUNCTION("GOOGLETRANSLATE(E2177, ""zh-CN"", ""en"")"),"犍 犍 犍 犍")</f>
        <v>犍 犍 犍 犍</v>
      </c>
      <c r="G2177" s="1">
        <v>5.11123E11</v>
      </c>
    </row>
    <row r="2178">
      <c r="A2178" s="1" t="s">
        <v>1904</v>
      </c>
      <c r="B2178" s="1" t="str">
        <f>IFERROR(__xludf.DUMMYFUNCTION("GOOGLETRANSLATE(A2104, ""zh-CN"", ""en"")"),"Sichuan Province")</f>
        <v>Sichuan Province</v>
      </c>
      <c r="C2178" s="1" t="s">
        <v>1914</v>
      </c>
      <c r="D2178" s="1" t="str">
        <f>IFERROR(__xludf.DUMMYFUNCTION("GOOGLETRANSLATE(C2178, ""zh-CN"", ""en"")"),"Leshan")</f>
        <v>Leshan</v>
      </c>
      <c r="E2178" s="1" t="s">
        <v>1999</v>
      </c>
      <c r="F2178" s="1" t="str">
        <f>IFERROR(__xludf.DUMMYFUNCTION("GOOGLETRANSLATE(E2178, ""zh-CN"", ""en"")"),"Jingyan County")</f>
        <v>Jingyan County</v>
      </c>
      <c r="G2178" s="1">
        <v>5.11124E11</v>
      </c>
    </row>
    <row r="2179">
      <c r="A2179" s="1" t="s">
        <v>1904</v>
      </c>
      <c r="B2179" s="1" t="str">
        <f>IFERROR(__xludf.DUMMYFUNCTION("GOOGLETRANSLATE(A2105, ""zh-CN"", ""en"")"),"Sichuan Province")</f>
        <v>Sichuan Province</v>
      </c>
      <c r="C2179" s="1" t="s">
        <v>1914</v>
      </c>
      <c r="D2179" s="1" t="str">
        <f>IFERROR(__xludf.DUMMYFUNCTION("GOOGLETRANSLATE(C2179, ""zh-CN"", ""en"")"),"Leshan")</f>
        <v>Leshan</v>
      </c>
      <c r="E2179" s="1" t="s">
        <v>2000</v>
      </c>
      <c r="F2179" s="1" t="str">
        <f>IFERROR(__xludf.DUMMYFUNCTION("GOOGLETRANSLATE(E2179, ""zh-CN"", ""en"")"),"Jiajiang County")</f>
        <v>Jiajiang County</v>
      </c>
      <c r="G2179" s="1">
        <v>5.11126E11</v>
      </c>
    </row>
    <row r="2180">
      <c r="A2180" s="1" t="s">
        <v>1904</v>
      </c>
      <c r="B2180" s="1" t="str">
        <f>IFERROR(__xludf.DUMMYFUNCTION("GOOGLETRANSLATE(A2106, ""zh-CN"", ""en"")"),"Sichuan Province")</f>
        <v>Sichuan Province</v>
      </c>
      <c r="C2180" s="1" t="s">
        <v>1914</v>
      </c>
      <c r="D2180" s="1" t="str">
        <f>IFERROR(__xludf.DUMMYFUNCTION("GOOGLETRANSLATE(C2180, ""zh-CN"", ""en"")"),"Leshan")</f>
        <v>Leshan</v>
      </c>
      <c r="E2180" s="1" t="s">
        <v>2001</v>
      </c>
      <c r="F2180" s="1" t="str">
        <f>IFERROR(__xludf.DUMMYFUNCTION("GOOGLETRANSLATE(E2180, ""zh-CN"", ""en"")"),"Muchuan County")</f>
        <v>Muchuan County</v>
      </c>
      <c r="G2180" s="1">
        <v>5.11129E11</v>
      </c>
    </row>
    <row r="2181">
      <c r="A2181" s="1" t="s">
        <v>1904</v>
      </c>
      <c r="B2181" s="1" t="str">
        <f>IFERROR(__xludf.DUMMYFUNCTION("GOOGLETRANSLATE(A2107, ""zh-CN"", ""en"")"),"Sichuan Province")</f>
        <v>Sichuan Province</v>
      </c>
      <c r="C2181" s="1" t="s">
        <v>1914</v>
      </c>
      <c r="D2181" s="1" t="str">
        <f>IFERROR(__xludf.DUMMYFUNCTION("GOOGLETRANSLATE(C2181, ""zh-CN"", ""en"")"),"Leshan")</f>
        <v>Leshan</v>
      </c>
      <c r="E2181" s="1" t="s">
        <v>2002</v>
      </c>
      <c r="F2181" s="1" t="str">
        <f>IFERROR(__xludf.DUMMYFUNCTION("GOOGLETRANSLATE(E2181, ""zh-CN"", ""en"")"),"Eibian Yi Autonomous County")</f>
        <v>Eibian Yi Autonomous County</v>
      </c>
      <c r="G2181" s="1">
        <v>5.11132E11</v>
      </c>
    </row>
    <row r="2182">
      <c r="A2182" s="1" t="s">
        <v>1904</v>
      </c>
      <c r="B2182" s="1" t="str">
        <f>IFERROR(__xludf.DUMMYFUNCTION("GOOGLETRANSLATE(A2108, ""zh-CN"", ""en"")"),"Sichuan Province")</f>
        <v>Sichuan Province</v>
      </c>
      <c r="C2182" s="1" t="s">
        <v>1914</v>
      </c>
      <c r="D2182" s="1" t="str">
        <f>IFERROR(__xludf.DUMMYFUNCTION("GOOGLETRANSLATE(C2182, ""zh-CN"", ""en"")"),"Leshan")</f>
        <v>Leshan</v>
      </c>
      <c r="E2182" s="1" t="s">
        <v>2003</v>
      </c>
      <c r="F2182" s="1" t="str">
        <f>IFERROR(__xludf.DUMMYFUNCTION("GOOGLETRANSLATE(E2182, ""zh-CN"", ""en"")"),"Matabian Yi Autonomous County")</f>
        <v>Matabian Yi Autonomous County</v>
      </c>
      <c r="G2182" s="1">
        <v>5.11133E11</v>
      </c>
    </row>
    <row r="2183">
      <c r="A2183" s="1" t="s">
        <v>1904</v>
      </c>
      <c r="B2183" s="1" t="str">
        <f>IFERROR(__xludf.DUMMYFUNCTION("GOOGLETRANSLATE(A2109, ""zh-CN"", ""en"")"),"Sichuan Province")</f>
        <v>Sichuan Province</v>
      </c>
      <c r="C2183" s="1" t="s">
        <v>1914</v>
      </c>
      <c r="D2183" s="1" t="str">
        <f>IFERROR(__xludf.DUMMYFUNCTION("GOOGLETRANSLATE(C2183, ""zh-CN"", ""en"")"),"Leshan")</f>
        <v>Leshan</v>
      </c>
      <c r="E2183" s="1" t="s">
        <v>2004</v>
      </c>
      <c r="F2183" s="1" t="str">
        <f>IFERROR(__xludf.DUMMYFUNCTION("GOOGLETRANSLATE(E2183, ""zh-CN"", ""en"")"),"Emeishan City")</f>
        <v>Emeishan City</v>
      </c>
      <c r="G2183" s="1">
        <v>5.11181E11</v>
      </c>
    </row>
    <row r="2184">
      <c r="A2184" s="1" t="s">
        <v>1904</v>
      </c>
      <c r="B2184" s="1" t="str">
        <f>IFERROR(__xludf.DUMMYFUNCTION("GOOGLETRANSLATE(A2110, ""zh-CN"", ""en"")"),"Sichuan Province")</f>
        <v>Sichuan Province</v>
      </c>
      <c r="C2184" s="1" t="s">
        <v>1915</v>
      </c>
      <c r="D2184" s="1" t="str">
        <f>IFERROR(__xludf.DUMMYFUNCTION("GOOGLETRANSLATE(C2184, ""zh-CN"", ""en"")"),"Nanchong City")</f>
        <v>Nanchong City</v>
      </c>
      <c r="E2184" s="1" t="s">
        <v>24</v>
      </c>
      <c r="F2184" s="1" t="str">
        <f>IFERROR(__xludf.DUMMYFUNCTION("GOOGLETRANSLATE(E2184, ""zh-CN"", ""en"")"),"City area")</f>
        <v>City area</v>
      </c>
      <c r="G2184" s="1">
        <v>5.11301E11</v>
      </c>
    </row>
    <row r="2185">
      <c r="A2185" s="1" t="s">
        <v>1904</v>
      </c>
      <c r="B2185" s="1" t="str">
        <f>IFERROR(__xludf.DUMMYFUNCTION("GOOGLETRANSLATE(A2111, ""zh-CN"", ""en"")"),"Sichuan Province")</f>
        <v>Sichuan Province</v>
      </c>
      <c r="C2185" s="1" t="s">
        <v>1915</v>
      </c>
      <c r="D2185" s="1" t="str">
        <f>IFERROR(__xludf.DUMMYFUNCTION("GOOGLETRANSLATE(C2185, ""zh-CN"", ""en"")"),"Nanchong City")</f>
        <v>Nanchong City</v>
      </c>
      <c r="E2185" s="1" t="s">
        <v>2005</v>
      </c>
      <c r="F2185" s="1" t="str">
        <f>IFERROR(__xludf.DUMMYFUNCTION("GOOGLETRANSLATE(E2185, ""zh-CN"", ""en"")"),"Shunqing District")</f>
        <v>Shunqing District</v>
      </c>
      <c r="G2185" s="1">
        <v>5.11302E11</v>
      </c>
    </row>
    <row r="2186">
      <c r="A2186" s="1" t="s">
        <v>1904</v>
      </c>
      <c r="B2186" s="1" t="str">
        <f>IFERROR(__xludf.DUMMYFUNCTION("GOOGLETRANSLATE(A2112, ""zh-CN"", ""en"")"),"Sichuan Province")</f>
        <v>Sichuan Province</v>
      </c>
      <c r="C2186" s="1" t="s">
        <v>1915</v>
      </c>
      <c r="D2186" s="1" t="str">
        <f>IFERROR(__xludf.DUMMYFUNCTION("GOOGLETRANSLATE(C2186, ""zh-CN"", ""en"")"),"Nanchong City")</f>
        <v>Nanchong City</v>
      </c>
      <c r="E2186" s="1" t="s">
        <v>2006</v>
      </c>
      <c r="F2186" s="1" t="str">
        <f>IFERROR(__xludf.DUMMYFUNCTION("GOOGLETRANSLATE(E2186, ""zh-CN"", ""en"")"),"Gaoping District")</f>
        <v>Gaoping District</v>
      </c>
      <c r="G2186" s="1">
        <v>5.11303E11</v>
      </c>
    </row>
    <row r="2187">
      <c r="A2187" s="1" t="s">
        <v>1904</v>
      </c>
      <c r="B2187" s="1" t="str">
        <f>IFERROR(__xludf.DUMMYFUNCTION("GOOGLETRANSLATE(A2113, ""zh-CN"", ""en"")"),"Sichuan Province")</f>
        <v>Sichuan Province</v>
      </c>
      <c r="C2187" s="1" t="s">
        <v>1915</v>
      </c>
      <c r="D2187" s="1" t="str">
        <f>IFERROR(__xludf.DUMMYFUNCTION("GOOGLETRANSLATE(C2187, ""zh-CN"", ""en"")"),"Nanchong City")</f>
        <v>Nanchong City</v>
      </c>
      <c r="E2187" s="1" t="s">
        <v>2007</v>
      </c>
      <c r="F2187" s="1" t="str">
        <f>IFERROR(__xludf.DUMMYFUNCTION("GOOGLETRANSLATE(E2187, ""zh-CN"", ""en"")"),"Jialing District")</f>
        <v>Jialing District</v>
      </c>
      <c r="G2187" s="1">
        <v>5.11304E11</v>
      </c>
    </row>
    <row r="2188">
      <c r="A2188" s="1" t="s">
        <v>1904</v>
      </c>
      <c r="B2188" s="1" t="str">
        <f>IFERROR(__xludf.DUMMYFUNCTION("GOOGLETRANSLATE(A2114, ""zh-CN"", ""en"")"),"Sichuan Province")</f>
        <v>Sichuan Province</v>
      </c>
      <c r="C2188" s="1" t="s">
        <v>1915</v>
      </c>
      <c r="D2188" s="1" t="str">
        <f>IFERROR(__xludf.DUMMYFUNCTION("GOOGLETRANSLATE(C2188, ""zh-CN"", ""en"")"),"Nanchong City")</f>
        <v>Nanchong City</v>
      </c>
      <c r="E2188" s="1" t="s">
        <v>2008</v>
      </c>
      <c r="F2188" s="1" t="str">
        <f>IFERROR(__xludf.DUMMYFUNCTION("GOOGLETRANSLATE(E2188, ""zh-CN"", ""en"")"),"Southern county")</f>
        <v>Southern county</v>
      </c>
      <c r="G2188" s="1">
        <v>5.11321E11</v>
      </c>
    </row>
    <row r="2189">
      <c r="A2189" s="1" t="s">
        <v>1904</v>
      </c>
      <c r="B2189" s="1" t="str">
        <f>IFERROR(__xludf.DUMMYFUNCTION("GOOGLETRANSLATE(A2115, ""zh-CN"", ""en"")"),"Sichuan Province")</f>
        <v>Sichuan Province</v>
      </c>
      <c r="C2189" s="1" t="s">
        <v>1915</v>
      </c>
      <c r="D2189" s="1" t="str">
        <f>IFERROR(__xludf.DUMMYFUNCTION("GOOGLETRANSLATE(C2189, ""zh-CN"", ""en"")"),"Nanchong City")</f>
        <v>Nanchong City</v>
      </c>
      <c r="E2189" s="1" t="s">
        <v>2009</v>
      </c>
      <c r="F2189" s="1" t="str">
        <f>IFERROR(__xludf.DUMMYFUNCTION("GOOGLETRANSLATE(E2189, ""zh-CN"", ""en"")"),"Yingshan County")</f>
        <v>Yingshan County</v>
      </c>
      <c r="G2189" s="1">
        <v>5.11322E11</v>
      </c>
    </row>
    <row r="2190">
      <c r="A2190" s="1" t="s">
        <v>1904</v>
      </c>
      <c r="B2190" s="1" t="str">
        <f>IFERROR(__xludf.DUMMYFUNCTION("GOOGLETRANSLATE(A2116, ""zh-CN"", ""en"")"),"Sichuan Province")</f>
        <v>Sichuan Province</v>
      </c>
      <c r="C2190" s="1" t="s">
        <v>1915</v>
      </c>
      <c r="D2190" s="1" t="str">
        <f>IFERROR(__xludf.DUMMYFUNCTION("GOOGLETRANSLATE(C2190, ""zh-CN"", ""en"")"),"Nanchong City")</f>
        <v>Nanchong City</v>
      </c>
      <c r="E2190" s="1" t="s">
        <v>2010</v>
      </c>
      <c r="F2190" s="1" t="str">
        <f>IFERROR(__xludf.DUMMYFUNCTION("GOOGLETRANSLATE(E2190, ""zh-CN"", ""en"")"),"Pengan County")</f>
        <v>Pengan County</v>
      </c>
      <c r="G2190" s="1">
        <v>5.11323E11</v>
      </c>
    </row>
    <row r="2191">
      <c r="A2191" s="1" t="s">
        <v>1904</v>
      </c>
      <c r="B2191" s="1" t="str">
        <f>IFERROR(__xludf.DUMMYFUNCTION("GOOGLETRANSLATE(A2117, ""zh-CN"", ""en"")"),"Sichuan Province")</f>
        <v>Sichuan Province</v>
      </c>
      <c r="C2191" s="1" t="s">
        <v>1915</v>
      </c>
      <c r="D2191" s="1" t="str">
        <f>IFERROR(__xludf.DUMMYFUNCTION("GOOGLETRANSLATE(C2191, ""zh-CN"", ""en"")"),"Nanchong City")</f>
        <v>Nanchong City</v>
      </c>
      <c r="E2191" s="1" t="s">
        <v>2011</v>
      </c>
      <c r="F2191" s="1" t="str">
        <f>IFERROR(__xludf.DUMMYFUNCTION("GOOGLETRANSLATE(E2191, ""zh-CN"", ""en"")"),"Yilong County")</f>
        <v>Yilong County</v>
      </c>
      <c r="G2191" s="1">
        <v>5.11324E11</v>
      </c>
    </row>
    <row r="2192">
      <c r="A2192" s="1" t="s">
        <v>1904</v>
      </c>
      <c r="B2192" s="1" t="str">
        <f>IFERROR(__xludf.DUMMYFUNCTION("GOOGLETRANSLATE(A2118, ""zh-CN"", ""en"")"),"Sichuan Province")</f>
        <v>Sichuan Province</v>
      </c>
      <c r="C2192" s="1" t="s">
        <v>1915</v>
      </c>
      <c r="D2192" s="1" t="str">
        <f>IFERROR(__xludf.DUMMYFUNCTION("GOOGLETRANSLATE(C2192, ""zh-CN"", ""en"")"),"Nanchong City")</f>
        <v>Nanchong City</v>
      </c>
      <c r="E2192" s="1" t="s">
        <v>2012</v>
      </c>
      <c r="F2192" s="1" t="str">
        <f>IFERROR(__xludf.DUMMYFUNCTION("GOOGLETRANSLATE(E2192, ""zh-CN"", ""en"")"),"Xichong County")</f>
        <v>Xichong County</v>
      </c>
      <c r="G2192" s="1">
        <v>5.11325E11</v>
      </c>
    </row>
    <row r="2193">
      <c r="A2193" s="1" t="s">
        <v>1904</v>
      </c>
      <c r="B2193" s="1" t="str">
        <f>IFERROR(__xludf.DUMMYFUNCTION("GOOGLETRANSLATE(A2119, ""zh-CN"", ""en"")"),"Sichuan Province")</f>
        <v>Sichuan Province</v>
      </c>
      <c r="C2193" s="1" t="s">
        <v>1915</v>
      </c>
      <c r="D2193" s="1" t="str">
        <f>IFERROR(__xludf.DUMMYFUNCTION("GOOGLETRANSLATE(C2193, ""zh-CN"", ""en"")"),"Nanchong City")</f>
        <v>Nanchong City</v>
      </c>
      <c r="E2193" s="1" t="s">
        <v>2013</v>
      </c>
      <c r="F2193" s="1" t="str">
        <f>IFERROR(__xludf.DUMMYFUNCTION("GOOGLETRANSLATE(E2193, ""zh-CN"", ""en"")"),"Langzhong City")</f>
        <v>Langzhong City</v>
      </c>
      <c r="G2193" s="1">
        <v>5.11381E11</v>
      </c>
    </row>
    <row r="2194">
      <c r="A2194" s="1" t="s">
        <v>1904</v>
      </c>
      <c r="B2194" s="1" t="str">
        <f>IFERROR(__xludf.DUMMYFUNCTION("GOOGLETRANSLATE(A2120, ""zh-CN"", ""en"")"),"Sichuan Province")</f>
        <v>Sichuan Province</v>
      </c>
      <c r="C2194" s="1" t="s">
        <v>1916</v>
      </c>
      <c r="D2194" s="1" t="str">
        <f>IFERROR(__xludf.DUMMYFUNCTION("GOOGLETRANSLATE(C2194, ""zh-CN"", ""en"")"),"Meishan City")</f>
        <v>Meishan City</v>
      </c>
      <c r="E2194" s="1" t="s">
        <v>24</v>
      </c>
      <c r="F2194" s="1" t="str">
        <f>IFERROR(__xludf.DUMMYFUNCTION("GOOGLETRANSLATE(E2194, ""zh-CN"", ""en"")"),"City area")</f>
        <v>City area</v>
      </c>
      <c r="G2194" s="1">
        <v>5.11401E11</v>
      </c>
    </row>
    <row r="2195">
      <c r="A2195" s="1" t="s">
        <v>1904</v>
      </c>
      <c r="B2195" s="1" t="str">
        <f>IFERROR(__xludf.DUMMYFUNCTION("GOOGLETRANSLATE(A2121, ""zh-CN"", ""en"")"),"Sichuan Province")</f>
        <v>Sichuan Province</v>
      </c>
      <c r="C2195" s="1" t="s">
        <v>1916</v>
      </c>
      <c r="D2195" s="1" t="str">
        <f>IFERROR(__xludf.DUMMYFUNCTION("GOOGLETRANSLATE(C2195, ""zh-CN"", ""en"")"),"Meishan City")</f>
        <v>Meishan City</v>
      </c>
      <c r="E2195" s="1" t="s">
        <v>2014</v>
      </c>
      <c r="F2195" s="1" t="str">
        <f>IFERROR(__xludf.DUMMYFUNCTION("GOOGLETRANSLATE(E2195, ""zh-CN"", ""en"")"),"Dongpo District")</f>
        <v>Dongpo District</v>
      </c>
      <c r="G2195" s="1">
        <v>5.11402E11</v>
      </c>
    </row>
    <row r="2196">
      <c r="A2196" s="1" t="s">
        <v>1904</v>
      </c>
      <c r="B2196" s="1" t="str">
        <f>IFERROR(__xludf.DUMMYFUNCTION("GOOGLETRANSLATE(A2122, ""zh-CN"", ""en"")"),"Sichuan Province")</f>
        <v>Sichuan Province</v>
      </c>
      <c r="C2196" s="1" t="s">
        <v>1916</v>
      </c>
      <c r="D2196" s="1" t="str">
        <f>IFERROR(__xludf.DUMMYFUNCTION("GOOGLETRANSLATE(C2196, ""zh-CN"", ""en"")"),"Meishan City")</f>
        <v>Meishan City</v>
      </c>
      <c r="E2196" s="1" t="s">
        <v>2015</v>
      </c>
      <c r="F2196" s="1" t="str">
        <f>IFERROR(__xludf.DUMMYFUNCTION("GOOGLETRANSLATE(E2196, ""zh-CN"", ""en"")"),"Pengshan District")</f>
        <v>Pengshan District</v>
      </c>
      <c r="G2196" s="1">
        <v>5.11403E11</v>
      </c>
    </row>
    <row r="2197">
      <c r="A2197" s="1" t="s">
        <v>1904</v>
      </c>
      <c r="B2197" s="1" t="str">
        <f>IFERROR(__xludf.DUMMYFUNCTION("GOOGLETRANSLATE(A2123, ""zh-CN"", ""en"")"),"Sichuan Province")</f>
        <v>Sichuan Province</v>
      </c>
      <c r="C2197" s="1" t="s">
        <v>1916</v>
      </c>
      <c r="D2197" s="1" t="str">
        <f>IFERROR(__xludf.DUMMYFUNCTION("GOOGLETRANSLATE(C2197, ""zh-CN"", ""en"")"),"Meishan City")</f>
        <v>Meishan City</v>
      </c>
      <c r="E2197" s="1" t="s">
        <v>2016</v>
      </c>
      <c r="F2197" s="1" t="str">
        <f>IFERROR(__xludf.DUMMYFUNCTION("GOOGLETRANSLATE(E2197, ""zh-CN"", ""en"")"),"Renshou County")</f>
        <v>Renshou County</v>
      </c>
      <c r="G2197" s="1">
        <v>5.11421E11</v>
      </c>
    </row>
    <row r="2198">
      <c r="A2198" s="1" t="s">
        <v>1904</v>
      </c>
      <c r="B2198" s="1" t="str">
        <f>IFERROR(__xludf.DUMMYFUNCTION("GOOGLETRANSLATE(A2124, ""zh-CN"", ""en"")"),"Sichuan Province")</f>
        <v>Sichuan Province</v>
      </c>
      <c r="C2198" s="1" t="s">
        <v>1916</v>
      </c>
      <c r="D2198" s="1" t="str">
        <f>IFERROR(__xludf.DUMMYFUNCTION("GOOGLETRANSLATE(C2198, ""zh-CN"", ""en"")"),"Meishan City")</f>
        <v>Meishan City</v>
      </c>
      <c r="E2198" s="1" t="s">
        <v>2017</v>
      </c>
      <c r="F2198" s="1" t="str">
        <f>IFERROR(__xludf.DUMMYFUNCTION("GOOGLETRANSLATE(E2198, ""zh-CN"", ""en"")"),"Hongya County")</f>
        <v>Hongya County</v>
      </c>
      <c r="G2198" s="1">
        <v>5.11423E11</v>
      </c>
    </row>
    <row r="2199">
      <c r="A2199" s="1" t="s">
        <v>1904</v>
      </c>
      <c r="B2199" s="1" t="str">
        <f>IFERROR(__xludf.DUMMYFUNCTION("GOOGLETRANSLATE(A2125, ""zh-CN"", ""en"")"),"Sichuan Province")</f>
        <v>Sichuan Province</v>
      </c>
      <c r="C2199" s="1" t="s">
        <v>1916</v>
      </c>
      <c r="D2199" s="1" t="str">
        <f>IFERROR(__xludf.DUMMYFUNCTION("GOOGLETRANSLATE(C2199, ""zh-CN"", ""en"")"),"Meishan City")</f>
        <v>Meishan City</v>
      </c>
      <c r="E2199" s="1" t="s">
        <v>2018</v>
      </c>
      <c r="F2199" s="1" t="str">
        <f>IFERROR(__xludf.DUMMYFUNCTION("GOOGLETRANSLATE(E2199, ""zh-CN"", ""en"")"),"Danling County")</f>
        <v>Danling County</v>
      </c>
      <c r="G2199" s="1">
        <v>5.11424E11</v>
      </c>
    </row>
    <row r="2200">
      <c r="A2200" s="1" t="s">
        <v>1904</v>
      </c>
      <c r="B2200" s="1" t="str">
        <f>IFERROR(__xludf.DUMMYFUNCTION("GOOGLETRANSLATE(A2126, ""zh-CN"", ""en"")"),"Sichuan Province")</f>
        <v>Sichuan Province</v>
      </c>
      <c r="C2200" s="1" t="s">
        <v>1916</v>
      </c>
      <c r="D2200" s="1" t="str">
        <f>IFERROR(__xludf.DUMMYFUNCTION("GOOGLETRANSLATE(C2200, ""zh-CN"", ""en"")"),"Meishan City")</f>
        <v>Meishan City</v>
      </c>
      <c r="E2200" s="1" t="s">
        <v>2019</v>
      </c>
      <c r="F2200" s="1" t="str">
        <f>IFERROR(__xludf.DUMMYFUNCTION("GOOGLETRANSLATE(E2200, ""zh-CN"", ""en"")"),"Qing Shen County")</f>
        <v>Qing Shen County</v>
      </c>
      <c r="G2200" s="1">
        <v>5.11425E11</v>
      </c>
    </row>
    <row r="2201">
      <c r="A2201" s="1" t="s">
        <v>1904</v>
      </c>
      <c r="B2201" s="1" t="str">
        <f>IFERROR(__xludf.DUMMYFUNCTION("GOOGLETRANSLATE(A2127, ""zh-CN"", ""en"")"),"Sichuan Province")</f>
        <v>Sichuan Province</v>
      </c>
      <c r="C2201" s="1" t="s">
        <v>1917</v>
      </c>
      <c r="D2201" s="1" t="str">
        <f>IFERROR(__xludf.DUMMYFUNCTION("GOOGLETRANSLATE(C2201, ""zh-CN"", ""en"")"),"Yibin City")</f>
        <v>Yibin City</v>
      </c>
      <c r="E2201" s="1" t="s">
        <v>24</v>
      </c>
      <c r="F2201" s="1" t="str">
        <f>IFERROR(__xludf.DUMMYFUNCTION("GOOGLETRANSLATE(E2201, ""zh-CN"", ""en"")"),"City area")</f>
        <v>City area</v>
      </c>
      <c r="G2201" s="1">
        <v>5.11501E11</v>
      </c>
    </row>
    <row r="2202">
      <c r="A2202" s="1" t="s">
        <v>1904</v>
      </c>
      <c r="B2202" s="1" t="str">
        <f>IFERROR(__xludf.DUMMYFUNCTION("GOOGLETRANSLATE(A2128, ""zh-CN"", ""en"")"),"Sichuan Province")</f>
        <v>Sichuan Province</v>
      </c>
      <c r="C2202" s="1" t="s">
        <v>1917</v>
      </c>
      <c r="D2202" s="1" t="str">
        <f>IFERROR(__xludf.DUMMYFUNCTION("GOOGLETRANSLATE(C2202, ""zh-CN"", ""en"")"),"Yibin City")</f>
        <v>Yibin City</v>
      </c>
      <c r="E2202" s="1" t="s">
        <v>2020</v>
      </c>
      <c r="F2202" s="1" t="str">
        <f>IFERROR(__xludf.DUMMYFUNCTION("GOOGLETRANSLATE(E2202, ""zh-CN"", ""en"")"),"Cuiping District")</f>
        <v>Cuiping District</v>
      </c>
      <c r="G2202" s="1">
        <v>5.11502E11</v>
      </c>
    </row>
    <row r="2203">
      <c r="A2203" s="1" t="s">
        <v>1904</v>
      </c>
      <c r="B2203" s="1" t="str">
        <f>IFERROR(__xludf.DUMMYFUNCTION("GOOGLETRANSLATE(A2129, ""zh-CN"", ""en"")"),"Sichuan Province")</f>
        <v>Sichuan Province</v>
      </c>
      <c r="C2203" s="1" t="s">
        <v>1917</v>
      </c>
      <c r="D2203" s="1" t="str">
        <f>IFERROR(__xludf.DUMMYFUNCTION("GOOGLETRANSLATE(C2203, ""zh-CN"", ""en"")"),"Yibin City")</f>
        <v>Yibin City</v>
      </c>
      <c r="E2203" s="1" t="s">
        <v>2021</v>
      </c>
      <c r="F2203" s="1" t="str">
        <f>IFERROR(__xludf.DUMMYFUNCTION("GOOGLETRANSLATE(E2203, ""zh-CN"", ""en"")"),"Nanxi District")</f>
        <v>Nanxi District</v>
      </c>
      <c r="G2203" s="1">
        <v>5.11503E11</v>
      </c>
    </row>
    <row r="2204">
      <c r="A2204" s="1" t="s">
        <v>1904</v>
      </c>
      <c r="B2204" s="1" t="str">
        <f>IFERROR(__xludf.DUMMYFUNCTION("GOOGLETRANSLATE(A2130, ""zh-CN"", ""en"")"),"Sichuan Province")</f>
        <v>Sichuan Province</v>
      </c>
      <c r="C2204" s="1" t="s">
        <v>1917</v>
      </c>
      <c r="D2204" s="1" t="str">
        <f>IFERROR(__xludf.DUMMYFUNCTION("GOOGLETRANSLATE(C2204, ""zh-CN"", ""en"")"),"Yibin City")</f>
        <v>Yibin City</v>
      </c>
      <c r="E2204" s="1" t="s">
        <v>2022</v>
      </c>
      <c r="F2204" s="1" t="str">
        <f>IFERROR(__xludf.DUMMYFUNCTION("GOOGLETRANSLATE(E2204, ""zh-CN"", ""en"")"),"Xuzhou")</f>
        <v>Xuzhou</v>
      </c>
      <c r="G2204" s="1">
        <v>5.11504E11</v>
      </c>
    </row>
    <row r="2205">
      <c r="A2205" s="1" t="s">
        <v>1904</v>
      </c>
      <c r="B2205" s="1" t="str">
        <f>IFERROR(__xludf.DUMMYFUNCTION("GOOGLETRANSLATE(A2131, ""zh-CN"", ""en"")"),"Sichuan Province")</f>
        <v>Sichuan Province</v>
      </c>
      <c r="C2205" s="1" t="s">
        <v>1917</v>
      </c>
      <c r="D2205" s="1" t="str">
        <f>IFERROR(__xludf.DUMMYFUNCTION("GOOGLETRANSLATE(C2205, ""zh-CN"", ""en"")"),"Yibin City")</f>
        <v>Yibin City</v>
      </c>
      <c r="E2205" s="1" t="s">
        <v>2023</v>
      </c>
      <c r="F2205" s="1" t="str">
        <f>IFERROR(__xludf.DUMMYFUNCTION("GOOGLETRANSLATE(E2205, ""zh-CN"", ""en"")"),"Jiang'an County")</f>
        <v>Jiang'an County</v>
      </c>
      <c r="G2205" s="1">
        <v>5.11523E11</v>
      </c>
    </row>
    <row r="2206">
      <c r="A2206" s="1" t="s">
        <v>1904</v>
      </c>
      <c r="B2206" s="1" t="str">
        <f>IFERROR(__xludf.DUMMYFUNCTION("GOOGLETRANSLATE(A2132, ""zh-CN"", ""en"")"),"Sichuan Province")</f>
        <v>Sichuan Province</v>
      </c>
      <c r="C2206" s="1" t="s">
        <v>1917</v>
      </c>
      <c r="D2206" s="1" t="str">
        <f>IFERROR(__xludf.DUMMYFUNCTION("GOOGLETRANSLATE(C2206, ""zh-CN"", ""en"")"),"Yibin City")</f>
        <v>Yibin City</v>
      </c>
      <c r="E2206" s="1" t="s">
        <v>2024</v>
      </c>
      <c r="F2206" s="1" t="str">
        <f>IFERROR(__xludf.DUMMYFUNCTION("GOOGLETRANSLATE(E2206, ""zh-CN"", ""en"")"),"Changning County")</f>
        <v>Changning County</v>
      </c>
      <c r="G2206" s="1">
        <v>5.11524E11</v>
      </c>
    </row>
    <row r="2207">
      <c r="A2207" s="1" t="s">
        <v>1904</v>
      </c>
      <c r="B2207" s="1" t="str">
        <f>IFERROR(__xludf.DUMMYFUNCTION("GOOGLETRANSLATE(A2133, ""zh-CN"", ""en"")"),"Sichuan Province")</f>
        <v>Sichuan Province</v>
      </c>
      <c r="C2207" s="1" t="s">
        <v>1917</v>
      </c>
      <c r="D2207" s="1" t="str">
        <f>IFERROR(__xludf.DUMMYFUNCTION("GOOGLETRANSLATE(C2207, ""zh-CN"", ""en"")"),"Yibin City")</f>
        <v>Yibin City</v>
      </c>
      <c r="E2207" s="1" t="s">
        <v>2025</v>
      </c>
      <c r="F2207" s="1" t="str">
        <f>IFERROR(__xludf.DUMMYFUNCTION("GOOGLETRANSLATE(E2207, ""zh-CN"", ""en"")"),"Gaoxian")</f>
        <v>Gaoxian</v>
      </c>
      <c r="G2207" s="1">
        <v>5.11525E11</v>
      </c>
    </row>
    <row r="2208">
      <c r="A2208" s="1" t="s">
        <v>1904</v>
      </c>
      <c r="B2208" s="1" t="str">
        <f>IFERROR(__xludf.DUMMYFUNCTION("GOOGLETRANSLATE(A2134, ""zh-CN"", ""en"")"),"Sichuan Province")</f>
        <v>Sichuan Province</v>
      </c>
      <c r="C2208" s="1" t="s">
        <v>1917</v>
      </c>
      <c r="D2208" s="1" t="str">
        <f>IFERROR(__xludf.DUMMYFUNCTION("GOOGLETRANSLATE(C2208, ""zh-CN"", ""en"")"),"Yibin City")</f>
        <v>Yibin City</v>
      </c>
      <c r="E2208" s="1" t="s">
        <v>2026</v>
      </c>
      <c r="F2208" s="1" t="str">
        <f>IFERROR(__xludf.DUMMYFUNCTION("GOOGLETRANSLATE(E2208, ""zh-CN"", ""en"")"),"Qixian County")</f>
        <v>Qixian County</v>
      </c>
      <c r="G2208" s="1">
        <v>5.11526E11</v>
      </c>
    </row>
    <row r="2209">
      <c r="A2209" s="1" t="s">
        <v>1904</v>
      </c>
      <c r="B2209" s="1" t="str">
        <f>IFERROR(__xludf.DUMMYFUNCTION("GOOGLETRANSLATE(A2135, ""zh-CN"", ""en"")"),"Sichuan Province")</f>
        <v>Sichuan Province</v>
      </c>
      <c r="C2209" s="1" t="s">
        <v>1917</v>
      </c>
      <c r="D2209" s="1" t="str">
        <f>IFERROR(__xludf.DUMMYFUNCTION("GOOGLETRANSLATE(C2209, ""zh-CN"", ""en"")"),"Yibin City")</f>
        <v>Yibin City</v>
      </c>
      <c r="E2209" s="1" t="s">
        <v>2027</v>
      </c>
      <c r="F2209" s="1" t="str">
        <f>IFERROR(__xludf.DUMMYFUNCTION("GOOGLETRANSLATE(E2209, ""zh-CN"", ""en"")"),"Lianlian County")</f>
        <v>Lianlian County</v>
      </c>
      <c r="G2209" s="1">
        <v>5.11527E11</v>
      </c>
    </row>
    <row r="2210">
      <c r="A2210" s="1" t="s">
        <v>1904</v>
      </c>
      <c r="B2210" s="1" t="str">
        <f>IFERROR(__xludf.DUMMYFUNCTION("GOOGLETRANSLATE(A2136, ""zh-CN"", ""en"")"),"Sichuan Province")</f>
        <v>Sichuan Province</v>
      </c>
      <c r="C2210" s="1" t="s">
        <v>1917</v>
      </c>
      <c r="D2210" s="1" t="str">
        <f>IFERROR(__xludf.DUMMYFUNCTION("GOOGLETRANSLATE(C2210, ""zh-CN"", ""en"")"),"Yibin City")</f>
        <v>Yibin City</v>
      </c>
      <c r="E2210" s="1" t="s">
        <v>2028</v>
      </c>
      <c r="F2210" s="1" t="str">
        <f>IFERROR(__xludf.DUMMYFUNCTION("GOOGLETRANSLATE(E2210, ""zh-CN"", ""en"")"),"Xingwen County")</f>
        <v>Xingwen County</v>
      </c>
      <c r="G2210" s="1">
        <v>5.11528E11</v>
      </c>
    </row>
    <row r="2211">
      <c r="A2211" s="1" t="s">
        <v>1904</v>
      </c>
      <c r="B2211" s="1" t="str">
        <f>IFERROR(__xludf.DUMMYFUNCTION("GOOGLETRANSLATE(A2137, ""zh-CN"", ""en"")"),"Sichuan Province")</f>
        <v>Sichuan Province</v>
      </c>
      <c r="C2211" s="1" t="s">
        <v>1917</v>
      </c>
      <c r="D2211" s="1" t="str">
        <f>IFERROR(__xludf.DUMMYFUNCTION("GOOGLETRANSLATE(C2211, ""zh-CN"", ""en"")"),"Yibin City")</f>
        <v>Yibin City</v>
      </c>
      <c r="E2211" s="1" t="s">
        <v>2029</v>
      </c>
      <c r="F2211" s="1" t="str">
        <f>IFERROR(__xludf.DUMMYFUNCTION("GOOGLETRANSLATE(E2211, ""zh-CN"", ""en"")"),"Pingshan County")</f>
        <v>Pingshan County</v>
      </c>
      <c r="G2211" s="1">
        <v>5.11529E11</v>
      </c>
    </row>
    <row r="2212">
      <c r="A2212" s="1" t="s">
        <v>1904</v>
      </c>
      <c r="B2212" s="1" t="str">
        <f>IFERROR(__xludf.DUMMYFUNCTION("GOOGLETRANSLATE(A2138, ""zh-CN"", ""en"")"),"Sichuan Province")</f>
        <v>Sichuan Province</v>
      </c>
      <c r="C2212" s="1" t="s">
        <v>1918</v>
      </c>
      <c r="D2212" s="1" t="str">
        <f>IFERROR(__xludf.DUMMYFUNCTION("GOOGLETRANSLATE(C2212, ""zh-CN"", ""en"")"),"Guang'an City")</f>
        <v>Guang'an City</v>
      </c>
      <c r="E2212" s="1" t="s">
        <v>24</v>
      </c>
      <c r="F2212" s="1" t="str">
        <f>IFERROR(__xludf.DUMMYFUNCTION("GOOGLETRANSLATE(E2212, ""zh-CN"", ""en"")"),"City area")</f>
        <v>City area</v>
      </c>
      <c r="G2212" s="1">
        <v>5.11601E11</v>
      </c>
    </row>
    <row r="2213">
      <c r="A2213" s="1" t="s">
        <v>1904</v>
      </c>
      <c r="B2213" s="1" t="str">
        <f>IFERROR(__xludf.DUMMYFUNCTION("GOOGLETRANSLATE(A2139, ""zh-CN"", ""en"")"),"Sichuan Province")</f>
        <v>Sichuan Province</v>
      </c>
      <c r="C2213" s="1" t="s">
        <v>1918</v>
      </c>
      <c r="D2213" s="1" t="str">
        <f>IFERROR(__xludf.DUMMYFUNCTION("GOOGLETRANSLATE(C2213, ""zh-CN"", ""en"")"),"Guang'an City")</f>
        <v>Guang'an City</v>
      </c>
      <c r="E2213" s="1" t="s">
        <v>2030</v>
      </c>
      <c r="F2213" s="1" t="str">
        <f>IFERROR(__xludf.DUMMYFUNCTION("GOOGLETRANSLATE(E2213, ""zh-CN"", ""en"")"),"Guang'an District")</f>
        <v>Guang'an District</v>
      </c>
      <c r="G2213" s="1">
        <v>5.11602E11</v>
      </c>
    </row>
    <row r="2214">
      <c r="A2214" s="1" t="s">
        <v>1904</v>
      </c>
      <c r="B2214" s="1" t="str">
        <f>IFERROR(__xludf.DUMMYFUNCTION("GOOGLETRANSLATE(A2140, ""zh-CN"", ""en"")"),"Sichuan Province")</f>
        <v>Sichuan Province</v>
      </c>
      <c r="C2214" s="1" t="s">
        <v>1918</v>
      </c>
      <c r="D2214" s="1" t="str">
        <f>IFERROR(__xludf.DUMMYFUNCTION("GOOGLETRANSLATE(C2214, ""zh-CN"", ""en"")"),"Guang'an City")</f>
        <v>Guang'an City</v>
      </c>
      <c r="E2214" s="1" t="s">
        <v>2031</v>
      </c>
      <c r="F2214" s="1" t="str">
        <f>IFERROR(__xludf.DUMMYFUNCTION("GOOGLETRANSLATE(E2214, ""zh-CN"", ""en"")"),"Striker zone")</f>
        <v>Striker zone</v>
      </c>
      <c r="G2214" s="1">
        <v>5.11603E11</v>
      </c>
    </row>
    <row r="2215">
      <c r="A2215" s="1" t="s">
        <v>1904</v>
      </c>
      <c r="B2215" s="1" t="str">
        <f>IFERROR(__xludf.DUMMYFUNCTION("GOOGLETRANSLATE(A2141, ""zh-CN"", ""en"")"),"Sichuan Province")</f>
        <v>Sichuan Province</v>
      </c>
      <c r="C2215" s="1" t="s">
        <v>1918</v>
      </c>
      <c r="D2215" s="1" t="str">
        <f>IFERROR(__xludf.DUMMYFUNCTION("GOOGLETRANSLATE(C2215, ""zh-CN"", ""en"")"),"Guang'an City")</f>
        <v>Guang'an City</v>
      </c>
      <c r="E2215" s="1" t="s">
        <v>2032</v>
      </c>
      <c r="F2215" s="1" t="str">
        <f>IFERROR(__xludf.DUMMYFUNCTION("GOOGLETRANSLATE(E2215, ""zh-CN"", ""en"")"),"Yuechi County")</f>
        <v>Yuechi County</v>
      </c>
      <c r="G2215" s="1">
        <v>5.11621E11</v>
      </c>
    </row>
    <row r="2216">
      <c r="A2216" s="1" t="s">
        <v>1904</v>
      </c>
      <c r="B2216" s="1" t="str">
        <f>IFERROR(__xludf.DUMMYFUNCTION("GOOGLETRANSLATE(A2142, ""zh-CN"", ""en"")"),"Sichuan Province")</f>
        <v>Sichuan Province</v>
      </c>
      <c r="C2216" s="1" t="s">
        <v>1918</v>
      </c>
      <c r="D2216" s="1" t="str">
        <f>IFERROR(__xludf.DUMMYFUNCTION("GOOGLETRANSLATE(C2216, ""zh-CN"", ""en"")"),"Guang'an City")</f>
        <v>Guang'an City</v>
      </c>
      <c r="E2216" s="1" t="s">
        <v>2033</v>
      </c>
      <c r="F2216" s="1" t="str">
        <f>IFERROR(__xludf.DUMMYFUNCTION("GOOGLETRANSLATE(E2216, ""zh-CN"", ""en"")"),"Wusheng County")</f>
        <v>Wusheng County</v>
      </c>
      <c r="G2216" s="1">
        <v>5.11622E11</v>
      </c>
    </row>
    <row r="2217">
      <c r="A2217" s="1" t="s">
        <v>1904</v>
      </c>
      <c r="B2217" s="1" t="str">
        <f>IFERROR(__xludf.DUMMYFUNCTION("GOOGLETRANSLATE(A2143, ""zh-CN"", ""en"")"),"Sichuan Province")</f>
        <v>Sichuan Province</v>
      </c>
      <c r="C2217" s="1" t="s">
        <v>1918</v>
      </c>
      <c r="D2217" s="1" t="str">
        <f>IFERROR(__xludf.DUMMYFUNCTION("GOOGLETRANSLATE(C2217, ""zh-CN"", ""en"")"),"Guang'an City")</f>
        <v>Guang'an City</v>
      </c>
      <c r="E2217" s="1" t="s">
        <v>2034</v>
      </c>
      <c r="F2217" s="1" t="str">
        <f>IFERROR(__xludf.DUMMYFUNCTION("GOOGLETRANSLATE(E2217, ""zh-CN"", ""en"")"),"Neighbor water county")</f>
        <v>Neighbor water county</v>
      </c>
      <c r="G2217" s="1">
        <v>5.11623E11</v>
      </c>
    </row>
    <row r="2218">
      <c r="A2218" s="1" t="s">
        <v>1904</v>
      </c>
      <c r="B2218" s="1" t="str">
        <f>IFERROR(__xludf.DUMMYFUNCTION("GOOGLETRANSLATE(A2144, ""zh-CN"", ""en"")"),"Sichuan Province")</f>
        <v>Sichuan Province</v>
      </c>
      <c r="C2218" s="1" t="s">
        <v>1918</v>
      </c>
      <c r="D2218" s="1" t="str">
        <f>IFERROR(__xludf.DUMMYFUNCTION("GOOGLETRANSLATE(C2218, ""zh-CN"", ""en"")"),"Guang'an City")</f>
        <v>Guang'an City</v>
      </c>
      <c r="E2218" s="1" t="s">
        <v>2035</v>
      </c>
      <c r="F2218" s="1" t="str">
        <f>IFERROR(__xludf.DUMMYFUNCTION("GOOGLETRANSLATE(E2218, ""zh-CN"", ""en"")"),"Huayu City")</f>
        <v>Huayu City</v>
      </c>
      <c r="G2218" s="1">
        <v>5.11681E11</v>
      </c>
    </row>
    <row r="2219">
      <c r="A2219" s="1" t="s">
        <v>1904</v>
      </c>
      <c r="B2219" s="1" t="str">
        <f>IFERROR(__xludf.DUMMYFUNCTION("GOOGLETRANSLATE(A2145, ""zh-CN"", ""en"")"),"Sichuan Province")</f>
        <v>Sichuan Province</v>
      </c>
      <c r="C2219" s="1" t="s">
        <v>1919</v>
      </c>
      <c r="D2219" s="1" t="str">
        <f>IFERROR(__xludf.DUMMYFUNCTION("GOOGLETRANSLATE(C2219, ""zh-CN"", ""en"")"),"Dazhou")</f>
        <v>Dazhou</v>
      </c>
      <c r="E2219" s="1" t="s">
        <v>24</v>
      </c>
      <c r="F2219" s="1" t="str">
        <f>IFERROR(__xludf.DUMMYFUNCTION("GOOGLETRANSLATE(E2219, ""zh-CN"", ""en"")"),"City area")</f>
        <v>City area</v>
      </c>
      <c r="G2219" s="1">
        <v>5.11701E11</v>
      </c>
    </row>
    <row r="2220">
      <c r="A2220" s="1" t="s">
        <v>1904</v>
      </c>
      <c r="B2220" s="1" t="str">
        <f>IFERROR(__xludf.DUMMYFUNCTION("GOOGLETRANSLATE(A2146, ""zh-CN"", ""en"")"),"Sichuan Province")</f>
        <v>Sichuan Province</v>
      </c>
      <c r="C2220" s="1" t="s">
        <v>1919</v>
      </c>
      <c r="D2220" s="1" t="str">
        <f>IFERROR(__xludf.DUMMYFUNCTION("GOOGLETRANSLATE(C2220, ""zh-CN"", ""en"")"),"Dazhou")</f>
        <v>Dazhou</v>
      </c>
      <c r="E2220" s="1" t="s">
        <v>2036</v>
      </c>
      <c r="F2220" s="1" t="str">
        <f>IFERROR(__xludf.DUMMYFUNCTION("GOOGLETRANSLATE(E2220, ""zh-CN"", ""en"")"),"Tongchuan District")</f>
        <v>Tongchuan District</v>
      </c>
      <c r="G2220" s="1">
        <v>5.11702E11</v>
      </c>
    </row>
    <row r="2221">
      <c r="A2221" s="1" t="s">
        <v>1904</v>
      </c>
      <c r="B2221" s="1" t="str">
        <f>IFERROR(__xludf.DUMMYFUNCTION("GOOGLETRANSLATE(A2147, ""zh-CN"", ""en"")"),"Sichuan Province")</f>
        <v>Sichuan Province</v>
      </c>
      <c r="C2221" s="1" t="s">
        <v>1919</v>
      </c>
      <c r="D2221" s="1" t="str">
        <f>IFERROR(__xludf.DUMMYFUNCTION("GOOGLETRANSLATE(C2221, ""zh-CN"", ""en"")"),"Dazhou")</f>
        <v>Dazhou</v>
      </c>
      <c r="E2221" s="1" t="s">
        <v>2037</v>
      </c>
      <c r="F2221" s="1" t="str">
        <f>IFERROR(__xludf.DUMMYFUNCTION("GOOGLETRANSLATE(E2221, ""zh-CN"", ""en"")"),"Dagawa District")</f>
        <v>Dagawa District</v>
      </c>
      <c r="G2221" s="1">
        <v>5.11703E11</v>
      </c>
    </row>
    <row r="2222">
      <c r="A2222" s="1" t="s">
        <v>1904</v>
      </c>
      <c r="B2222" s="1" t="str">
        <f>IFERROR(__xludf.DUMMYFUNCTION("GOOGLETRANSLATE(A2148, ""zh-CN"", ""en"")"),"Sichuan Province")</f>
        <v>Sichuan Province</v>
      </c>
      <c r="C2222" s="1" t="s">
        <v>1919</v>
      </c>
      <c r="D2222" s="1" t="str">
        <f>IFERROR(__xludf.DUMMYFUNCTION("GOOGLETRANSLATE(C2222, ""zh-CN"", ""en"")"),"Dazhou")</f>
        <v>Dazhou</v>
      </c>
      <c r="E2222" s="1" t="s">
        <v>2038</v>
      </c>
      <c r="F2222" s="1" t="str">
        <f>IFERROR(__xludf.DUMMYFUNCTION("GOOGLETRANSLATE(E2222, ""zh-CN"", ""en"")"),"Xuanhan County")</f>
        <v>Xuanhan County</v>
      </c>
      <c r="G2222" s="1">
        <v>5.11722E11</v>
      </c>
    </row>
    <row r="2223">
      <c r="A2223" s="1" t="s">
        <v>1904</v>
      </c>
      <c r="B2223" s="1" t="str">
        <f>IFERROR(__xludf.DUMMYFUNCTION("GOOGLETRANSLATE(A2149, ""zh-CN"", ""en"")"),"Sichuan Province")</f>
        <v>Sichuan Province</v>
      </c>
      <c r="C2223" s="1" t="s">
        <v>1919</v>
      </c>
      <c r="D2223" s="1" t="str">
        <f>IFERROR(__xludf.DUMMYFUNCTION("GOOGLETRANSLATE(C2223, ""zh-CN"", ""en"")"),"Dazhou")</f>
        <v>Dazhou</v>
      </c>
      <c r="E2223" s="1" t="s">
        <v>2039</v>
      </c>
      <c r="F2223" s="1" t="str">
        <f>IFERROR(__xludf.DUMMYFUNCTION("GOOGLETRANSLATE(E2223, ""zh-CN"", ""en"")"),"Kaijiang County")</f>
        <v>Kaijiang County</v>
      </c>
      <c r="G2223" s="1">
        <v>5.11723E11</v>
      </c>
    </row>
    <row r="2224">
      <c r="A2224" s="1" t="s">
        <v>1904</v>
      </c>
      <c r="B2224" s="1" t="str">
        <f>IFERROR(__xludf.DUMMYFUNCTION("GOOGLETRANSLATE(A2150, ""zh-CN"", ""en"")"),"Sichuan Province")</f>
        <v>Sichuan Province</v>
      </c>
      <c r="C2224" s="1" t="s">
        <v>1919</v>
      </c>
      <c r="D2224" s="1" t="str">
        <f>IFERROR(__xludf.DUMMYFUNCTION("GOOGLETRANSLATE(C2224, ""zh-CN"", ""en"")"),"Dazhou")</f>
        <v>Dazhou</v>
      </c>
      <c r="E2224" s="1" t="s">
        <v>2040</v>
      </c>
      <c r="F2224" s="1" t="str">
        <f>IFERROR(__xludf.DUMMYFUNCTION("GOOGLETRANSLATE(E2224, ""zh-CN"", ""en"")"),"Dazhu County")</f>
        <v>Dazhu County</v>
      </c>
      <c r="G2224" s="1">
        <v>5.11724E11</v>
      </c>
    </row>
    <row r="2225">
      <c r="A2225" s="1" t="s">
        <v>1904</v>
      </c>
      <c r="B2225" s="1" t="str">
        <f>IFERROR(__xludf.DUMMYFUNCTION("GOOGLETRANSLATE(A2151, ""zh-CN"", ""en"")"),"Sichuan Province")</f>
        <v>Sichuan Province</v>
      </c>
      <c r="C2225" s="1" t="s">
        <v>1919</v>
      </c>
      <c r="D2225" s="1" t="str">
        <f>IFERROR(__xludf.DUMMYFUNCTION("GOOGLETRANSLATE(C2225, ""zh-CN"", ""en"")"),"Dazhou")</f>
        <v>Dazhou</v>
      </c>
      <c r="E2225" s="1" t="s">
        <v>2041</v>
      </c>
      <c r="F2225" s="1" t="str">
        <f>IFERROR(__xludf.DUMMYFUNCTION("GOOGLETRANSLATE(E2225, ""zh-CN"", ""en"")"),"County")</f>
        <v>County</v>
      </c>
      <c r="G2225" s="1">
        <v>5.11725E11</v>
      </c>
    </row>
    <row r="2226">
      <c r="A2226" s="1" t="s">
        <v>1904</v>
      </c>
      <c r="B2226" s="1" t="str">
        <f>IFERROR(__xludf.DUMMYFUNCTION("GOOGLETRANSLATE(A2152, ""zh-CN"", ""en"")"),"Sichuan Province")</f>
        <v>Sichuan Province</v>
      </c>
      <c r="C2226" s="1" t="s">
        <v>1919</v>
      </c>
      <c r="D2226" s="1" t="str">
        <f>IFERROR(__xludf.DUMMYFUNCTION("GOOGLETRANSLATE(C2226, ""zh-CN"", ""en"")"),"Dazhou")</f>
        <v>Dazhou</v>
      </c>
      <c r="E2226" s="1" t="s">
        <v>2042</v>
      </c>
      <c r="F2226" s="1" t="str">
        <f>IFERROR(__xludf.DUMMYFUNCTION("GOOGLETRANSLATE(E2226, ""zh-CN"", ""en"")"),"Wanyuan City")</f>
        <v>Wanyuan City</v>
      </c>
      <c r="G2226" s="1">
        <v>5.11781E11</v>
      </c>
    </row>
    <row r="2227">
      <c r="A2227" s="1" t="s">
        <v>1904</v>
      </c>
      <c r="B2227" s="1" t="str">
        <f>IFERROR(__xludf.DUMMYFUNCTION("GOOGLETRANSLATE(A2153, ""zh-CN"", ""en"")"),"Sichuan Province")</f>
        <v>Sichuan Province</v>
      </c>
      <c r="C2227" s="1" t="s">
        <v>1920</v>
      </c>
      <c r="D2227" s="1" t="str">
        <f>IFERROR(__xludf.DUMMYFUNCTION("GOOGLETRANSLATE(C2227, ""zh-CN"", ""en"")"),"Ya'an city")</f>
        <v>Ya'an city</v>
      </c>
      <c r="E2227" s="1" t="s">
        <v>24</v>
      </c>
      <c r="F2227" s="1" t="str">
        <f>IFERROR(__xludf.DUMMYFUNCTION("GOOGLETRANSLATE(E2227, ""zh-CN"", ""en"")"),"City area")</f>
        <v>City area</v>
      </c>
      <c r="G2227" s="1">
        <v>5.11801E11</v>
      </c>
    </row>
    <row r="2228">
      <c r="A2228" s="1" t="s">
        <v>1904</v>
      </c>
      <c r="B2228" s="1" t="str">
        <f>IFERROR(__xludf.DUMMYFUNCTION("GOOGLETRANSLATE(A2154, ""zh-CN"", ""en"")"),"Sichuan Province")</f>
        <v>Sichuan Province</v>
      </c>
      <c r="C2228" s="1" t="s">
        <v>1920</v>
      </c>
      <c r="D2228" s="1" t="str">
        <f>IFERROR(__xludf.DUMMYFUNCTION("GOOGLETRANSLATE(C2228, ""zh-CN"", ""en"")"),"Ya'an city")</f>
        <v>Ya'an city</v>
      </c>
      <c r="E2228" s="1" t="s">
        <v>2043</v>
      </c>
      <c r="F2228" s="1" t="str">
        <f>IFERROR(__xludf.DUMMYFUNCTION("GOOGLETRANSLATE(E2228, ""zh-CN"", ""en"")"),"Yucheng District")</f>
        <v>Yucheng District</v>
      </c>
      <c r="G2228" s="1">
        <v>5.11802E11</v>
      </c>
    </row>
    <row r="2229">
      <c r="A2229" s="1" t="s">
        <v>1904</v>
      </c>
      <c r="B2229" s="1" t="str">
        <f>IFERROR(__xludf.DUMMYFUNCTION("GOOGLETRANSLATE(A2155, ""zh-CN"", ""en"")"),"Sichuan Province")</f>
        <v>Sichuan Province</v>
      </c>
      <c r="C2229" s="1" t="s">
        <v>1920</v>
      </c>
      <c r="D2229" s="1" t="str">
        <f>IFERROR(__xludf.DUMMYFUNCTION("GOOGLETRANSLATE(C2229, ""zh-CN"", ""en"")"),"Ya'an city")</f>
        <v>Ya'an city</v>
      </c>
      <c r="E2229" s="1" t="s">
        <v>2044</v>
      </c>
      <c r="F2229" s="1" t="str">
        <f>IFERROR(__xludf.DUMMYFUNCTION("GOOGLETRANSLATE(E2229, ""zh-CN"", ""en"")"),"Famous mountainous area")</f>
        <v>Famous mountainous area</v>
      </c>
      <c r="G2229" s="1">
        <v>5.11803E11</v>
      </c>
    </row>
    <row r="2230">
      <c r="A2230" s="1" t="s">
        <v>1904</v>
      </c>
      <c r="B2230" s="1" t="str">
        <f>IFERROR(__xludf.DUMMYFUNCTION("GOOGLETRANSLATE(A2156, ""zh-CN"", ""en"")"),"Sichuan Province")</f>
        <v>Sichuan Province</v>
      </c>
      <c r="C2230" s="1" t="s">
        <v>1920</v>
      </c>
      <c r="D2230" s="1" t="str">
        <f>IFERROR(__xludf.DUMMYFUNCTION("GOOGLETRANSLATE(C2230, ""zh-CN"", ""en"")"),"Ya'an city")</f>
        <v>Ya'an city</v>
      </c>
      <c r="E2230" s="1" t="s">
        <v>2045</v>
      </c>
      <c r="F2230" s="1" t="str">
        <f>IFERROR(__xludf.DUMMYFUNCTION("GOOGLETRANSLATE(E2230, ""zh-CN"", ""en"")"),"Daijing County")</f>
        <v>Daijing County</v>
      </c>
      <c r="G2230" s="1">
        <v>5.11822E11</v>
      </c>
    </row>
    <row r="2231">
      <c r="A2231" s="1" t="s">
        <v>1904</v>
      </c>
      <c r="B2231" s="1" t="str">
        <f>IFERROR(__xludf.DUMMYFUNCTION("GOOGLETRANSLATE(A2157, ""zh-CN"", ""en"")"),"Sichuan Province")</f>
        <v>Sichuan Province</v>
      </c>
      <c r="C2231" s="1" t="s">
        <v>1920</v>
      </c>
      <c r="D2231" s="1" t="str">
        <f>IFERROR(__xludf.DUMMYFUNCTION("GOOGLETRANSLATE(C2231, ""zh-CN"", ""en"")"),"Ya'an city")</f>
        <v>Ya'an city</v>
      </c>
      <c r="E2231" s="1" t="s">
        <v>2046</v>
      </c>
      <c r="F2231" s="1" t="str">
        <f>IFERROR(__xludf.DUMMYFUNCTION("GOOGLETRANSLATE(E2231, ""zh-CN"", ""en"")"),"Hanyuan County")</f>
        <v>Hanyuan County</v>
      </c>
      <c r="G2231" s="1">
        <v>5.11823E11</v>
      </c>
    </row>
    <row r="2232">
      <c r="A2232" s="1" t="s">
        <v>1904</v>
      </c>
      <c r="B2232" s="1" t="str">
        <f>IFERROR(__xludf.DUMMYFUNCTION("GOOGLETRANSLATE(A2158, ""zh-CN"", ""en"")"),"Sichuan Province")</f>
        <v>Sichuan Province</v>
      </c>
      <c r="C2232" s="1" t="s">
        <v>1920</v>
      </c>
      <c r="D2232" s="1" t="str">
        <f>IFERROR(__xludf.DUMMYFUNCTION("GOOGLETRANSLATE(C2232, ""zh-CN"", ""en"")"),"Ya'an city")</f>
        <v>Ya'an city</v>
      </c>
      <c r="E2232" s="1" t="s">
        <v>2047</v>
      </c>
      <c r="F2232" s="1" t="str">
        <f>IFERROR(__xludf.DUMMYFUNCTION("GOOGLETRANSLATE(E2232, ""zh-CN"", ""en"")"),"Asaimonian Prefecture")</f>
        <v>Asaimonian Prefecture</v>
      </c>
      <c r="G2232" s="1">
        <v>5.11824E11</v>
      </c>
    </row>
    <row r="2233">
      <c r="A2233" s="1" t="s">
        <v>1904</v>
      </c>
      <c r="B2233" s="1" t="str">
        <f>IFERROR(__xludf.DUMMYFUNCTION("GOOGLETRANSLATE(A2159, ""zh-CN"", ""en"")"),"Sichuan Province")</f>
        <v>Sichuan Province</v>
      </c>
      <c r="C2233" s="1" t="s">
        <v>1920</v>
      </c>
      <c r="D2233" s="1" t="str">
        <f>IFERROR(__xludf.DUMMYFUNCTION("GOOGLETRANSLATE(C2233, ""zh-CN"", ""en"")"),"Ya'an city")</f>
        <v>Ya'an city</v>
      </c>
      <c r="E2233" s="1" t="s">
        <v>2048</v>
      </c>
      <c r="F2233" s="1" t="str">
        <f>IFERROR(__xludf.DUMMYFUNCTION("GOOGLETRANSLATE(E2233, ""zh-CN"", ""en"")"),"Tianquan County")</f>
        <v>Tianquan County</v>
      </c>
      <c r="G2233" s="1">
        <v>5.11825E11</v>
      </c>
    </row>
    <row r="2234">
      <c r="A2234" s="1" t="s">
        <v>1904</v>
      </c>
      <c r="B2234" s="1" t="str">
        <f>IFERROR(__xludf.DUMMYFUNCTION("GOOGLETRANSLATE(A2160, ""zh-CN"", ""en"")"),"Sichuan Province")</f>
        <v>Sichuan Province</v>
      </c>
      <c r="C2234" s="1" t="s">
        <v>1920</v>
      </c>
      <c r="D2234" s="1" t="str">
        <f>IFERROR(__xludf.DUMMYFUNCTION("GOOGLETRANSLATE(C2234, ""zh-CN"", ""en"")"),"Ya'an city")</f>
        <v>Ya'an city</v>
      </c>
      <c r="E2234" s="1" t="s">
        <v>2049</v>
      </c>
      <c r="F2234" s="1" t="str">
        <f>IFERROR(__xludf.DUMMYFUNCTION("GOOGLETRANSLATE(E2234, ""zh-CN"", ""en"")"),"Lushan County")</f>
        <v>Lushan County</v>
      </c>
      <c r="G2234" s="1">
        <v>5.11826E11</v>
      </c>
    </row>
    <row r="2235">
      <c r="A2235" s="1" t="s">
        <v>1904</v>
      </c>
      <c r="B2235" s="1" t="str">
        <f>IFERROR(__xludf.DUMMYFUNCTION("GOOGLETRANSLATE(A2161, ""zh-CN"", ""en"")"),"Sichuan Province")</f>
        <v>Sichuan Province</v>
      </c>
      <c r="C2235" s="1" t="s">
        <v>1920</v>
      </c>
      <c r="D2235" s="1" t="str">
        <f>IFERROR(__xludf.DUMMYFUNCTION("GOOGLETRANSLATE(C2235, ""zh-CN"", ""en"")"),"Ya'an city")</f>
        <v>Ya'an city</v>
      </c>
      <c r="E2235" s="1" t="s">
        <v>2050</v>
      </c>
      <c r="F2235" s="1" t="str">
        <f>IFERROR(__xludf.DUMMYFUNCTION("GOOGLETRANSLATE(E2235, ""zh-CN"", ""en"")"),"Baoxing County")</f>
        <v>Baoxing County</v>
      </c>
      <c r="G2235" s="1">
        <v>5.11827E11</v>
      </c>
    </row>
    <row r="2236">
      <c r="A2236" s="1" t="s">
        <v>1904</v>
      </c>
      <c r="B2236" s="1" t="str">
        <f>IFERROR(__xludf.DUMMYFUNCTION("GOOGLETRANSLATE(A2162, ""zh-CN"", ""en"")"),"Sichuan Province")</f>
        <v>Sichuan Province</v>
      </c>
      <c r="C2236" s="1" t="s">
        <v>1921</v>
      </c>
      <c r="D2236" s="1" t="str">
        <f>IFERROR(__xludf.DUMMYFUNCTION("GOOGLETRANSLATE(C2236, ""zh-CN"", ""en"")"),"Bazhong City")</f>
        <v>Bazhong City</v>
      </c>
      <c r="E2236" s="1" t="s">
        <v>24</v>
      </c>
      <c r="F2236" s="1" t="str">
        <f>IFERROR(__xludf.DUMMYFUNCTION("GOOGLETRANSLATE(E2236, ""zh-CN"", ""en"")"),"City area")</f>
        <v>City area</v>
      </c>
      <c r="G2236" s="1">
        <v>5.11901E11</v>
      </c>
    </row>
    <row r="2237">
      <c r="A2237" s="1" t="s">
        <v>1904</v>
      </c>
      <c r="B2237" s="1" t="str">
        <f>IFERROR(__xludf.DUMMYFUNCTION("GOOGLETRANSLATE(A2163, ""zh-CN"", ""en"")"),"Sichuan Province")</f>
        <v>Sichuan Province</v>
      </c>
      <c r="C2237" s="1" t="s">
        <v>1921</v>
      </c>
      <c r="D2237" s="1" t="str">
        <f>IFERROR(__xludf.DUMMYFUNCTION("GOOGLETRANSLATE(C2237, ""zh-CN"", ""en"")"),"Bazhong City")</f>
        <v>Bazhong City</v>
      </c>
      <c r="E2237" s="1" t="s">
        <v>2051</v>
      </c>
      <c r="F2237" s="1" t="str">
        <f>IFERROR(__xludf.DUMMYFUNCTION("GOOGLETRANSLATE(E2237, ""zh-CN"", ""en"")"),"Bazhou District")</f>
        <v>Bazhou District</v>
      </c>
      <c r="G2237" s="1">
        <v>5.11902E11</v>
      </c>
    </row>
    <row r="2238">
      <c r="A2238" s="1" t="s">
        <v>1904</v>
      </c>
      <c r="B2238" s="1" t="str">
        <f>IFERROR(__xludf.DUMMYFUNCTION("GOOGLETRANSLATE(A2164, ""zh-CN"", ""en"")"),"Sichuan Province")</f>
        <v>Sichuan Province</v>
      </c>
      <c r="C2238" s="1" t="s">
        <v>1921</v>
      </c>
      <c r="D2238" s="1" t="str">
        <f>IFERROR(__xludf.DUMMYFUNCTION("GOOGLETRANSLATE(C2238, ""zh-CN"", ""en"")"),"Bazhong City")</f>
        <v>Bazhong City</v>
      </c>
      <c r="E2238" s="1" t="s">
        <v>2052</v>
      </c>
      <c r="F2238" s="1" t="str">
        <f>IFERROR(__xludf.DUMMYFUNCTION("GOOGLETRANSLATE(E2238, ""zh-CN"", ""en"")"),"Enyang District")</f>
        <v>Enyang District</v>
      </c>
      <c r="G2238" s="1">
        <v>5.11903E11</v>
      </c>
    </row>
    <row r="2239">
      <c r="A2239" s="1" t="s">
        <v>1904</v>
      </c>
      <c r="B2239" s="1" t="str">
        <f>IFERROR(__xludf.DUMMYFUNCTION("GOOGLETRANSLATE(A2165, ""zh-CN"", ""en"")"),"Sichuan Province")</f>
        <v>Sichuan Province</v>
      </c>
      <c r="C2239" s="1" t="s">
        <v>1921</v>
      </c>
      <c r="D2239" s="1" t="str">
        <f>IFERROR(__xludf.DUMMYFUNCTION("GOOGLETRANSLATE(C2239, ""zh-CN"", ""en"")"),"Bazhong City")</f>
        <v>Bazhong City</v>
      </c>
      <c r="E2239" s="1" t="s">
        <v>2053</v>
      </c>
      <c r="F2239" s="1" t="str">
        <f>IFERROR(__xludf.DUMMYFUNCTION("GOOGLETRANSLATE(E2239, ""zh-CN"", ""en"")"),"Tongjiang County")</f>
        <v>Tongjiang County</v>
      </c>
      <c r="G2239" s="1">
        <v>5.11921E11</v>
      </c>
    </row>
    <row r="2240">
      <c r="A2240" s="1" t="s">
        <v>1904</v>
      </c>
      <c r="B2240" s="1" t="str">
        <f>IFERROR(__xludf.DUMMYFUNCTION("GOOGLETRANSLATE(A2166, ""zh-CN"", ""en"")"),"Sichuan Province")</f>
        <v>Sichuan Province</v>
      </c>
      <c r="C2240" s="1" t="s">
        <v>1921</v>
      </c>
      <c r="D2240" s="1" t="str">
        <f>IFERROR(__xludf.DUMMYFUNCTION("GOOGLETRANSLATE(C2240, ""zh-CN"", ""en"")"),"Bazhong City")</f>
        <v>Bazhong City</v>
      </c>
      <c r="E2240" s="1" t="s">
        <v>2054</v>
      </c>
      <c r="F2240" s="1" t="str">
        <f>IFERROR(__xludf.DUMMYFUNCTION("GOOGLETRANSLATE(E2240, ""zh-CN"", ""en"")"),"Nanjiang County")</f>
        <v>Nanjiang County</v>
      </c>
      <c r="G2240" s="1">
        <v>5.11922E11</v>
      </c>
    </row>
    <row r="2241">
      <c r="A2241" s="1" t="s">
        <v>1904</v>
      </c>
      <c r="B2241" s="1" t="str">
        <f>IFERROR(__xludf.DUMMYFUNCTION("GOOGLETRANSLATE(A2167, ""zh-CN"", ""en"")"),"Sichuan Province")</f>
        <v>Sichuan Province</v>
      </c>
      <c r="C2241" s="1" t="s">
        <v>1921</v>
      </c>
      <c r="D2241" s="1" t="str">
        <f>IFERROR(__xludf.DUMMYFUNCTION("GOOGLETRANSLATE(C2241, ""zh-CN"", ""en"")"),"Bazhong City")</f>
        <v>Bazhong City</v>
      </c>
      <c r="E2241" s="1" t="s">
        <v>2055</v>
      </c>
      <c r="F2241" s="1" t="str">
        <f>IFERROR(__xludf.DUMMYFUNCTION("GOOGLETRANSLATE(E2241, ""zh-CN"", ""en"")"),"Pingchang County")</f>
        <v>Pingchang County</v>
      </c>
      <c r="G2241" s="1">
        <v>5.11923E11</v>
      </c>
    </row>
    <row r="2242">
      <c r="A2242" s="1" t="s">
        <v>1904</v>
      </c>
      <c r="B2242" s="1" t="str">
        <f>IFERROR(__xludf.DUMMYFUNCTION("GOOGLETRANSLATE(A2168, ""zh-CN"", ""en"")"),"Sichuan Province")</f>
        <v>Sichuan Province</v>
      </c>
      <c r="C2242" s="1" t="s">
        <v>1922</v>
      </c>
      <c r="D2242" s="1" t="str">
        <f>IFERROR(__xludf.DUMMYFUNCTION("GOOGLETRANSLATE(C2242, ""zh-CN"", ""en"")"),"Ziyang City")</f>
        <v>Ziyang City</v>
      </c>
      <c r="E2242" s="1" t="s">
        <v>24</v>
      </c>
      <c r="F2242" s="1" t="str">
        <f>IFERROR(__xludf.DUMMYFUNCTION("GOOGLETRANSLATE(E2242, ""zh-CN"", ""en"")"),"City area")</f>
        <v>City area</v>
      </c>
      <c r="G2242" s="1">
        <v>5.12001E11</v>
      </c>
    </row>
    <row r="2243">
      <c r="A2243" s="1" t="s">
        <v>1904</v>
      </c>
      <c r="B2243" s="1" t="str">
        <f>IFERROR(__xludf.DUMMYFUNCTION("GOOGLETRANSLATE(A2169, ""zh-CN"", ""en"")"),"Sichuan Province")</f>
        <v>Sichuan Province</v>
      </c>
      <c r="C2243" s="1" t="s">
        <v>1922</v>
      </c>
      <c r="D2243" s="1" t="str">
        <f>IFERROR(__xludf.DUMMYFUNCTION("GOOGLETRANSLATE(C2243, ""zh-CN"", ""en"")"),"Ziyang City")</f>
        <v>Ziyang City</v>
      </c>
      <c r="E2243" s="1" t="s">
        <v>2056</v>
      </c>
      <c r="F2243" s="1" t="str">
        <f>IFERROR(__xludf.DUMMYFUNCTION("GOOGLETRANSLATE(E2243, ""zh-CN"", ""en"")"),"Yanjiang District")</f>
        <v>Yanjiang District</v>
      </c>
      <c r="G2243" s="1">
        <v>5.12002E11</v>
      </c>
    </row>
    <row r="2244">
      <c r="A2244" s="1" t="s">
        <v>1904</v>
      </c>
      <c r="B2244" s="1" t="str">
        <f>IFERROR(__xludf.DUMMYFUNCTION("GOOGLETRANSLATE(A2170, ""zh-CN"", ""en"")"),"Sichuan Province")</f>
        <v>Sichuan Province</v>
      </c>
      <c r="C2244" s="1" t="s">
        <v>1922</v>
      </c>
      <c r="D2244" s="1" t="str">
        <f>IFERROR(__xludf.DUMMYFUNCTION("GOOGLETRANSLATE(C2244, ""zh-CN"", ""en"")"),"Ziyang City")</f>
        <v>Ziyang City</v>
      </c>
      <c r="E2244" s="1" t="s">
        <v>2057</v>
      </c>
      <c r="F2244" s="1" t="str">
        <f>IFERROR(__xludf.DUMMYFUNCTION("GOOGLETRANSLATE(E2244, ""zh-CN"", ""en"")"),"Anyue County")</f>
        <v>Anyue County</v>
      </c>
      <c r="G2244" s="1">
        <v>5.12021E11</v>
      </c>
    </row>
    <row r="2245">
      <c r="A2245" s="1" t="s">
        <v>1904</v>
      </c>
      <c r="B2245" s="1" t="str">
        <f>IFERROR(__xludf.DUMMYFUNCTION("GOOGLETRANSLATE(A2171, ""zh-CN"", ""en"")"),"Sichuan Province")</f>
        <v>Sichuan Province</v>
      </c>
      <c r="C2245" s="1" t="s">
        <v>1922</v>
      </c>
      <c r="D2245" s="1" t="str">
        <f>IFERROR(__xludf.DUMMYFUNCTION("GOOGLETRANSLATE(C2245, ""zh-CN"", ""en"")"),"Ziyang City")</f>
        <v>Ziyang City</v>
      </c>
      <c r="E2245" s="1" t="s">
        <v>2058</v>
      </c>
      <c r="F2245" s="1" t="str">
        <f>IFERROR(__xludf.DUMMYFUNCTION("GOOGLETRANSLATE(E2245, ""zh-CN"", ""en"")"),"Lezhi County")</f>
        <v>Lezhi County</v>
      </c>
      <c r="G2245" s="1">
        <v>5.12022E11</v>
      </c>
    </row>
    <row r="2246">
      <c r="A2246" s="1" t="s">
        <v>1904</v>
      </c>
      <c r="B2246" s="1" t="str">
        <f>IFERROR(__xludf.DUMMYFUNCTION("GOOGLETRANSLATE(A2172, ""zh-CN"", ""en"")"),"Sichuan Province")</f>
        <v>Sichuan Province</v>
      </c>
      <c r="C2246" s="1" t="s">
        <v>1923</v>
      </c>
      <c r="D2246" s="1" t="str">
        <f>IFERROR(__xludf.DUMMYFUNCTION("GOOGLETRANSLATE(C2246, ""zh-CN"", ""en"")"),"Aba Tibetan Qiang Autonomous Prefecture")</f>
        <v>Aba Tibetan Qiang Autonomous Prefecture</v>
      </c>
      <c r="E2246" s="1" t="s">
        <v>2059</v>
      </c>
      <c r="F2246" s="1" t="str">
        <f>IFERROR(__xludf.DUMMYFUNCTION("GOOGLETRANSLATE(E2246, ""zh-CN"", ""en"")"),"Malcon")</f>
        <v>Malcon</v>
      </c>
      <c r="G2246" s="1">
        <v>5.13201E11</v>
      </c>
    </row>
    <row r="2247">
      <c r="A2247" s="1" t="s">
        <v>1904</v>
      </c>
      <c r="B2247" s="1" t="str">
        <f>IFERROR(__xludf.DUMMYFUNCTION("GOOGLETRANSLATE(A2173, ""zh-CN"", ""en"")"),"Sichuan Province")</f>
        <v>Sichuan Province</v>
      </c>
      <c r="C2247" s="1" t="s">
        <v>1923</v>
      </c>
      <c r="D2247" s="1" t="str">
        <f>IFERROR(__xludf.DUMMYFUNCTION("GOOGLETRANSLATE(C2247, ""zh-CN"", ""en"")"),"Aba Tibetan Qiang Autonomous Prefecture")</f>
        <v>Aba Tibetan Qiang Autonomous Prefecture</v>
      </c>
      <c r="E2247" s="1" t="s">
        <v>2060</v>
      </c>
      <c r="F2247" s="1" t="str">
        <f>IFERROR(__xludf.DUMMYFUNCTION("GOOGLETRANSLATE(E2247, ""zh-CN"", ""en"")"),"Wenchuan County")</f>
        <v>Wenchuan County</v>
      </c>
      <c r="G2247" s="1">
        <v>5.13221E11</v>
      </c>
    </row>
    <row r="2248">
      <c r="A2248" s="1" t="s">
        <v>1904</v>
      </c>
      <c r="B2248" s="1" t="str">
        <f>IFERROR(__xludf.DUMMYFUNCTION("GOOGLETRANSLATE(A2174, ""zh-CN"", ""en"")"),"Sichuan Province")</f>
        <v>Sichuan Province</v>
      </c>
      <c r="C2248" s="1" t="s">
        <v>1923</v>
      </c>
      <c r="D2248" s="1" t="str">
        <f>IFERROR(__xludf.DUMMYFUNCTION("GOOGLETRANSLATE(C2248, ""zh-CN"", ""en"")"),"Aba Tibetan Qiang Autonomous Prefecture")</f>
        <v>Aba Tibetan Qiang Autonomous Prefecture</v>
      </c>
      <c r="E2248" s="1" t="s">
        <v>2061</v>
      </c>
      <c r="F2248" s="1" t="str">
        <f>IFERROR(__xludf.DUMMYFUNCTION("GOOGLETRANSLATE(E2248, ""zh-CN"", ""en"")"),"County")</f>
        <v>County</v>
      </c>
      <c r="G2248" s="1">
        <v>5.13222E11</v>
      </c>
    </row>
    <row r="2249">
      <c r="A2249" s="1" t="s">
        <v>1904</v>
      </c>
      <c r="B2249" s="1" t="str">
        <f>IFERROR(__xludf.DUMMYFUNCTION("GOOGLETRANSLATE(A2175, ""zh-CN"", ""en"")"),"Sichuan Province")</f>
        <v>Sichuan Province</v>
      </c>
      <c r="C2249" s="1" t="s">
        <v>1923</v>
      </c>
      <c r="D2249" s="1" t="str">
        <f>IFERROR(__xludf.DUMMYFUNCTION("GOOGLETRANSLATE(C2249, ""zh-CN"", ""en"")"),"Aba Tibetan Qiang Autonomous Prefecture")</f>
        <v>Aba Tibetan Qiang Autonomous Prefecture</v>
      </c>
      <c r="E2249" s="1" t="s">
        <v>2062</v>
      </c>
      <c r="F2249" s="1" t="str">
        <f>IFERROR(__xludf.DUMMYFUNCTION("GOOGLETRANSLATE(E2249, ""zh-CN"", ""en"")"),"Mao County")</f>
        <v>Mao County</v>
      </c>
      <c r="G2249" s="1">
        <v>5.13223E11</v>
      </c>
    </row>
    <row r="2250">
      <c r="A2250" s="1" t="s">
        <v>1904</v>
      </c>
      <c r="B2250" s="1" t="str">
        <f>IFERROR(__xludf.DUMMYFUNCTION("GOOGLETRANSLATE(A2176, ""zh-CN"", ""en"")"),"Sichuan Province")</f>
        <v>Sichuan Province</v>
      </c>
      <c r="C2250" s="1" t="s">
        <v>1923</v>
      </c>
      <c r="D2250" s="1" t="str">
        <f>IFERROR(__xludf.DUMMYFUNCTION("GOOGLETRANSLATE(C2250, ""zh-CN"", ""en"")"),"Aba Tibetan Qiang Autonomous Prefecture")</f>
        <v>Aba Tibetan Qiang Autonomous Prefecture</v>
      </c>
      <c r="E2250" s="1" t="s">
        <v>2063</v>
      </c>
      <c r="F2250" s="1" t="str">
        <f>IFERROR(__xludf.DUMMYFUNCTION("GOOGLETRANSLATE(E2250, ""zh-CN"", ""en"")"),"Songpan County")</f>
        <v>Songpan County</v>
      </c>
      <c r="G2250" s="1">
        <v>5.13224E11</v>
      </c>
    </row>
    <row r="2251">
      <c r="A2251" s="1" t="s">
        <v>1904</v>
      </c>
      <c r="B2251" s="1" t="str">
        <f>IFERROR(__xludf.DUMMYFUNCTION("GOOGLETRANSLATE(A2177, ""zh-CN"", ""en"")"),"Sichuan Province")</f>
        <v>Sichuan Province</v>
      </c>
      <c r="C2251" s="1" t="s">
        <v>1923</v>
      </c>
      <c r="D2251" s="1" t="str">
        <f>IFERROR(__xludf.DUMMYFUNCTION("GOOGLETRANSLATE(C2251, ""zh-CN"", ""en"")"),"Aba Tibetan Qiang Autonomous Prefecture")</f>
        <v>Aba Tibetan Qiang Autonomous Prefecture</v>
      </c>
      <c r="E2251" s="1" t="s">
        <v>2064</v>
      </c>
      <c r="F2251" s="1" t="str">
        <f>IFERROR(__xludf.DUMMYFUNCTION("GOOGLETRANSLATE(E2251, ""zh-CN"", ""en"")"),"Jiuzhaigou County")</f>
        <v>Jiuzhaigou County</v>
      </c>
      <c r="G2251" s="1">
        <v>5.13225E11</v>
      </c>
    </row>
    <row r="2252">
      <c r="A2252" s="1" t="s">
        <v>1904</v>
      </c>
      <c r="B2252" s="1" t="str">
        <f>IFERROR(__xludf.DUMMYFUNCTION("GOOGLETRANSLATE(A2178, ""zh-CN"", ""en"")"),"Sichuan Province")</f>
        <v>Sichuan Province</v>
      </c>
      <c r="C2252" s="1" t="s">
        <v>1923</v>
      </c>
      <c r="D2252" s="1" t="str">
        <f>IFERROR(__xludf.DUMMYFUNCTION("GOOGLETRANSLATE(C2252, ""zh-CN"", ""en"")"),"Aba Tibetan Qiang Autonomous Prefecture")</f>
        <v>Aba Tibetan Qiang Autonomous Prefecture</v>
      </c>
      <c r="E2252" s="1" t="s">
        <v>2065</v>
      </c>
      <c r="F2252" s="1" t="str">
        <f>IFERROR(__xludf.DUMMYFUNCTION("GOOGLETRANSLATE(E2252, ""zh-CN"", ""en"")"),"Jinsheng County")</f>
        <v>Jinsheng County</v>
      </c>
      <c r="G2252" s="1">
        <v>5.13226E11</v>
      </c>
    </row>
    <row r="2253">
      <c r="A2253" s="1" t="s">
        <v>1904</v>
      </c>
      <c r="B2253" s="1" t="str">
        <f>IFERROR(__xludf.DUMMYFUNCTION("GOOGLETRANSLATE(A2179, ""zh-CN"", ""en"")"),"Sichuan Province")</f>
        <v>Sichuan Province</v>
      </c>
      <c r="C2253" s="1" t="s">
        <v>1923</v>
      </c>
      <c r="D2253" s="1" t="str">
        <f>IFERROR(__xludf.DUMMYFUNCTION("GOOGLETRANSLATE(C2253, ""zh-CN"", ""en"")"),"Aba Tibetan Qiang Autonomous Prefecture")</f>
        <v>Aba Tibetan Qiang Autonomous Prefecture</v>
      </c>
      <c r="E2253" s="1" t="s">
        <v>2066</v>
      </c>
      <c r="F2253" s="1" t="str">
        <f>IFERROR(__xludf.DUMMYFUNCTION("GOOGLETRANSLATE(E2253, ""zh-CN"", ""en"")"),"Xiaojin County")</f>
        <v>Xiaojin County</v>
      </c>
      <c r="G2253" s="1">
        <v>5.13227E11</v>
      </c>
    </row>
    <row r="2254">
      <c r="A2254" s="1" t="s">
        <v>1904</v>
      </c>
      <c r="B2254" s="1" t="str">
        <f>IFERROR(__xludf.DUMMYFUNCTION("GOOGLETRANSLATE(A2180, ""zh-CN"", ""en"")"),"Sichuan Province")</f>
        <v>Sichuan Province</v>
      </c>
      <c r="C2254" s="1" t="s">
        <v>1923</v>
      </c>
      <c r="D2254" s="1" t="str">
        <f>IFERROR(__xludf.DUMMYFUNCTION("GOOGLETRANSLATE(C2254, ""zh-CN"", ""en"")"),"Aba Tibetan Qiang Autonomous Prefecture")</f>
        <v>Aba Tibetan Qiang Autonomous Prefecture</v>
      </c>
      <c r="E2254" s="1" t="s">
        <v>2067</v>
      </c>
      <c r="F2254" s="1" t="str">
        <f>IFERROR(__xludf.DUMMYFUNCTION("GOOGLETRANSLATE(E2254, ""zh-CN"", ""en"")"),"Heishui County")</f>
        <v>Heishui County</v>
      </c>
      <c r="G2254" s="1">
        <v>5.13228E11</v>
      </c>
    </row>
    <row r="2255">
      <c r="A2255" s="1" t="s">
        <v>1904</v>
      </c>
      <c r="B2255" s="1" t="str">
        <f>IFERROR(__xludf.DUMMYFUNCTION("GOOGLETRANSLATE(A2181, ""zh-CN"", ""en"")"),"Sichuan Province")</f>
        <v>Sichuan Province</v>
      </c>
      <c r="C2255" s="1" t="s">
        <v>1923</v>
      </c>
      <c r="D2255" s="1" t="str">
        <f>IFERROR(__xludf.DUMMYFUNCTION("GOOGLETRANSLATE(C2255, ""zh-CN"", ""en"")"),"Aba Tibetan Qiang Autonomous Prefecture")</f>
        <v>Aba Tibetan Qiang Autonomous Prefecture</v>
      </c>
      <c r="E2255" s="1" t="s">
        <v>2068</v>
      </c>
      <c r="F2255" s="1" t="str">
        <f>IFERROR(__xludf.DUMMYFUNCTION("GOOGLETRANSLATE(E2255, ""zh-CN"", ""en"")"),"Yangtang County")</f>
        <v>Yangtang County</v>
      </c>
      <c r="G2255" s="1">
        <v>5.1323E11</v>
      </c>
    </row>
    <row r="2256">
      <c r="A2256" s="1" t="s">
        <v>1904</v>
      </c>
      <c r="B2256" s="1" t="str">
        <f>IFERROR(__xludf.DUMMYFUNCTION("GOOGLETRANSLATE(A2182, ""zh-CN"", ""en"")"),"Sichuan Province")</f>
        <v>Sichuan Province</v>
      </c>
      <c r="C2256" s="1" t="s">
        <v>1923</v>
      </c>
      <c r="D2256" s="1" t="str">
        <f>IFERROR(__xludf.DUMMYFUNCTION("GOOGLETRANSLATE(C2256, ""zh-CN"", ""en"")"),"Aba Tibetan Qiang Autonomous Prefecture")</f>
        <v>Aba Tibetan Qiang Autonomous Prefecture</v>
      </c>
      <c r="E2256" s="1" t="s">
        <v>2069</v>
      </c>
      <c r="F2256" s="1" t="str">
        <f>IFERROR(__xludf.DUMMYFUNCTION("GOOGLETRANSLATE(E2256, ""zh-CN"", ""en"")"),"Aba County")</f>
        <v>Aba County</v>
      </c>
      <c r="G2256" s="1">
        <v>5.13231E11</v>
      </c>
    </row>
    <row r="2257">
      <c r="A2257" s="1" t="s">
        <v>1904</v>
      </c>
      <c r="B2257" s="1" t="str">
        <f>IFERROR(__xludf.DUMMYFUNCTION("GOOGLETRANSLATE(A2183, ""zh-CN"", ""en"")"),"Sichuan Province")</f>
        <v>Sichuan Province</v>
      </c>
      <c r="C2257" s="1" t="s">
        <v>1923</v>
      </c>
      <c r="D2257" s="1" t="str">
        <f>IFERROR(__xludf.DUMMYFUNCTION("GOOGLETRANSLATE(C2257, ""zh-CN"", ""en"")"),"Aba Tibetan Qiang Autonomous Prefecture")</f>
        <v>Aba Tibetan Qiang Autonomous Prefecture</v>
      </c>
      <c r="E2257" s="1" t="s">
        <v>2070</v>
      </c>
      <c r="F2257" s="1" t="str">
        <f>IFERROR(__xludf.DUMMYFUNCTION("GOOGLETRANSLATE(E2257, ""zh-CN"", ""en"")"),"Johgai County")</f>
        <v>Johgai County</v>
      </c>
      <c r="G2257" s="1">
        <v>5.13232E11</v>
      </c>
    </row>
    <row r="2258">
      <c r="A2258" s="1" t="s">
        <v>1904</v>
      </c>
      <c r="B2258" s="1" t="str">
        <f>IFERROR(__xludf.DUMMYFUNCTION("GOOGLETRANSLATE(A2184, ""zh-CN"", ""en"")"),"Sichuan Province")</f>
        <v>Sichuan Province</v>
      </c>
      <c r="C2258" s="1" t="s">
        <v>1923</v>
      </c>
      <c r="D2258" s="1" t="str">
        <f>IFERROR(__xludf.DUMMYFUNCTION("GOOGLETRANSLATE(C2258, ""zh-CN"", ""en"")"),"Aba Tibetan Qiang Autonomous Prefecture")</f>
        <v>Aba Tibetan Qiang Autonomous Prefecture</v>
      </c>
      <c r="E2258" s="1" t="s">
        <v>2071</v>
      </c>
      <c r="F2258" s="1" t="str">
        <f>IFERROR(__xludf.DUMMYFUNCTION("GOOGLETRANSLATE(E2258, ""zh-CN"", ""en"")"),"Hongyuan County")</f>
        <v>Hongyuan County</v>
      </c>
      <c r="G2258" s="1">
        <v>5.13233E11</v>
      </c>
    </row>
    <row r="2259">
      <c r="A2259" s="1" t="s">
        <v>1904</v>
      </c>
      <c r="B2259" s="1" t="str">
        <f>IFERROR(__xludf.DUMMYFUNCTION("GOOGLETRANSLATE(A2185, ""zh-CN"", ""en"")"),"Sichuan Province")</f>
        <v>Sichuan Province</v>
      </c>
      <c r="C2259" s="1" t="s">
        <v>1924</v>
      </c>
      <c r="D2259" s="1" t="str">
        <f>IFERROR(__xludf.DUMMYFUNCTION("GOOGLETRANSLATE(C2259, ""zh-CN"", ""en"")"),"Ganzi Tibetan Autonomous Prefecture")</f>
        <v>Ganzi Tibetan Autonomous Prefecture</v>
      </c>
      <c r="E2259" s="1" t="s">
        <v>2072</v>
      </c>
      <c r="F2259" s="1" t="str">
        <f>IFERROR(__xludf.DUMMYFUNCTION("GOOGLETRANSLATE(E2259, ""zh-CN"", ""en"")"),"Kangding City")</f>
        <v>Kangding City</v>
      </c>
      <c r="G2259" s="1">
        <v>5.13301E11</v>
      </c>
    </row>
    <row r="2260">
      <c r="A2260" s="1" t="s">
        <v>1904</v>
      </c>
      <c r="B2260" s="1" t="str">
        <f>IFERROR(__xludf.DUMMYFUNCTION("GOOGLETRANSLATE(A2186, ""zh-CN"", ""en"")"),"Sichuan Province")</f>
        <v>Sichuan Province</v>
      </c>
      <c r="C2260" s="1" t="s">
        <v>1924</v>
      </c>
      <c r="D2260" s="1" t="str">
        <f>IFERROR(__xludf.DUMMYFUNCTION("GOOGLETRANSLATE(C2260, ""zh-CN"", ""en"")"),"Ganzi Tibetan Autonomous Prefecture")</f>
        <v>Ganzi Tibetan Autonomous Prefecture</v>
      </c>
      <c r="E2260" s="1" t="s">
        <v>2073</v>
      </c>
      <c r="F2260" s="1" t="str">
        <f>IFERROR(__xludf.DUMMYFUNCTION("GOOGLETRANSLATE(E2260, ""zh-CN"", ""en"")"),"Luding County")</f>
        <v>Luding County</v>
      </c>
      <c r="G2260" s="1">
        <v>5.13322E11</v>
      </c>
    </row>
    <row r="2261">
      <c r="A2261" s="1" t="s">
        <v>1904</v>
      </c>
      <c r="B2261" s="1" t="str">
        <f>IFERROR(__xludf.DUMMYFUNCTION("GOOGLETRANSLATE(A2187, ""zh-CN"", ""en"")"),"Sichuan Province")</f>
        <v>Sichuan Province</v>
      </c>
      <c r="C2261" s="1" t="s">
        <v>1924</v>
      </c>
      <c r="D2261" s="1" t="str">
        <f>IFERROR(__xludf.DUMMYFUNCTION("GOOGLETRANSLATE(C2261, ""zh-CN"", ""en"")"),"Ganzi Tibetan Autonomous Prefecture")</f>
        <v>Ganzi Tibetan Autonomous Prefecture</v>
      </c>
      <c r="E2261" s="1" t="s">
        <v>2074</v>
      </c>
      <c r="F2261" s="1" t="str">
        <f>IFERROR(__xludf.DUMMYFUNCTION("GOOGLETRANSLATE(E2261, ""zh-CN"", ""en"")"),"Danba County")</f>
        <v>Danba County</v>
      </c>
      <c r="G2261" s="1">
        <v>5.13323E11</v>
      </c>
    </row>
    <row r="2262">
      <c r="A2262" s="1" t="s">
        <v>1904</v>
      </c>
      <c r="B2262" s="1" t="str">
        <f>IFERROR(__xludf.DUMMYFUNCTION("GOOGLETRANSLATE(A2188, ""zh-CN"", ""en"")"),"Sichuan Province")</f>
        <v>Sichuan Province</v>
      </c>
      <c r="C2262" s="1" t="s">
        <v>1924</v>
      </c>
      <c r="D2262" s="1" t="str">
        <f>IFERROR(__xludf.DUMMYFUNCTION("GOOGLETRANSLATE(C2262, ""zh-CN"", ""en"")"),"Ganzi Tibetan Autonomous Prefecture")</f>
        <v>Ganzi Tibetan Autonomous Prefecture</v>
      </c>
      <c r="E2262" s="1" t="s">
        <v>2075</v>
      </c>
      <c r="F2262" s="1" t="str">
        <f>IFERROR(__xludf.DUMMYFUNCTION("GOOGLETRANSLATE(E2262, ""zh-CN"", ""en"")"),"Kowloon County")</f>
        <v>Kowloon County</v>
      </c>
      <c r="G2262" s="1">
        <v>5.13324E11</v>
      </c>
    </row>
    <row r="2263">
      <c r="A2263" s="1" t="s">
        <v>1904</v>
      </c>
      <c r="B2263" s="1" t="str">
        <f>IFERROR(__xludf.DUMMYFUNCTION("GOOGLETRANSLATE(A2189, ""zh-CN"", ""en"")"),"Sichuan Province")</f>
        <v>Sichuan Province</v>
      </c>
      <c r="C2263" s="1" t="s">
        <v>1924</v>
      </c>
      <c r="D2263" s="1" t="str">
        <f>IFERROR(__xludf.DUMMYFUNCTION("GOOGLETRANSLATE(C2263, ""zh-CN"", ""en"")"),"Ganzi Tibetan Autonomous Prefecture")</f>
        <v>Ganzi Tibetan Autonomous Prefecture</v>
      </c>
      <c r="E2263" s="1" t="s">
        <v>2076</v>
      </c>
      <c r="F2263" s="1" t="str">
        <f>IFERROR(__xludf.DUMMYFUNCTION("GOOGLETRANSLATE(E2263, ""zh-CN"", ""en"")"),"Yajiang County")</f>
        <v>Yajiang County</v>
      </c>
      <c r="G2263" s="1">
        <v>5.13325E11</v>
      </c>
    </row>
    <row r="2264">
      <c r="A2264" s="1" t="s">
        <v>1904</v>
      </c>
      <c r="B2264" s="1" t="str">
        <f>IFERROR(__xludf.DUMMYFUNCTION("GOOGLETRANSLATE(A2190, ""zh-CN"", ""en"")"),"Sichuan Province")</f>
        <v>Sichuan Province</v>
      </c>
      <c r="C2264" s="1" t="s">
        <v>1924</v>
      </c>
      <c r="D2264" s="1" t="str">
        <f>IFERROR(__xludf.DUMMYFUNCTION("GOOGLETRANSLATE(C2264, ""zh-CN"", ""en"")"),"Ganzi Tibetan Autonomous Prefecture")</f>
        <v>Ganzi Tibetan Autonomous Prefecture</v>
      </c>
      <c r="E2264" s="1" t="s">
        <v>2077</v>
      </c>
      <c r="F2264" s="1" t="str">
        <f>IFERROR(__xludf.DUMMYFUNCTION("GOOGLETRANSLATE(E2264, ""zh-CN"", ""en"")"),"Daofu County")</f>
        <v>Daofu County</v>
      </c>
      <c r="G2264" s="1">
        <v>5.13326E11</v>
      </c>
    </row>
    <row r="2265">
      <c r="A2265" s="1" t="s">
        <v>1904</v>
      </c>
      <c r="B2265" s="1" t="str">
        <f>IFERROR(__xludf.DUMMYFUNCTION("GOOGLETRANSLATE(A2191, ""zh-CN"", ""en"")"),"Sichuan Province")</f>
        <v>Sichuan Province</v>
      </c>
      <c r="C2265" s="1" t="s">
        <v>1924</v>
      </c>
      <c r="D2265" s="1" t="str">
        <f>IFERROR(__xludf.DUMMYFUNCTION("GOOGLETRANSLATE(C2265, ""zh-CN"", ""en"")"),"Ganzi Tibetan Autonomous Prefecture")</f>
        <v>Ganzi Tibetan Autonomous Prefecture</v>
      </c>
      <c r="E2265" s="1" t="s">
        <v>2078</v>
      </c>
      <c r="F2265" s="1" t="str">
        <f>IFERROR(__xludf.DUMMYFUNCTION("GOOGLETRANSLATE(E2265, ""zh-CN"", ""en"")"),"Ouhuo County")</f>
        <v>Ouhuo County</v>
      </c>
      <c r="G2265" s="1">
        <v>5.13327E11</v>
      </c>
    </row>
    <row r="2266">
      <c r="A2266" s="1" t="s">
        <v>1904</v>
      </c>
      <c r="B2266" s="1" t="str">
        <f>IFERROR(__xludf.DUMMYFUNCTION("GOOGLETRANSLATE(A2192, ""zh-CN"", ""en"")"),"Sichuan Province")</f>
        <v>Sichuan Province</v>
      </c>
      <c r="C2266" s="1" t="s">
        <v>1924</v>
      </c>
      <c r="D2266" s="1" t="str">
        <f>IFERROR(__xludf.DUMMYFUNCTION("GOOGLETRANSLATE(C2266, ""zh-CN"", ""en"")"),"Ganzi Tibetan Autonomous Prefecture")</f>
        <v>Ganzi Tibetan Autonomous Prefecture</v>
      </c>
      <c r="E2266" s="1" t="s">
        <v>2079</v>
      </c>
      <c r="F2266" s="1" t="str">
        <f>IFERROR(__xludf.DUMMYFUNCTION("GOOGLETRANSLATE(E2266, ""zh-CN"", ""en"")"),"Ganzi County")</f>
        <v>Ganzi County</v>
      </c>
      <c r="G2266" s="1">
        <v>5.13328E11</v>
      </c>
    </row>
    <row r="2267">
      <c r="A2267" s="1" t="s">
        <v>1904</v>
      </c>
      <c r="B2267" s="1" t="str">
        <f>IFERROR(__xludf.DUMMYFUNCTION("GOOGLETRANSLATE(A2193, ""zh-CN"", ""en"")"),"Sichuan Province")</f>
        <v>Sichuan Province</v>
      </c>
      <c r="C2267" s="1" t="s">
        <v>1924</v>
      </c>
      <c r="D2267" s="1" t="str">
        <f>IFERROR(__xludf.DUMMYFUNCTION("GOOGLETRANSLATE(C2267, ""zh-CN"", ""en"")"),"Ganzi Tibetan Autonomous Prefecture")</f>
        <v>Ganzi Tibetan Autonomous Prefecture</v>
      </c>
      <c r="E2267" s="1" t="s">
        <v>2080</v>
      </c>
      <c r="F2267" s="1" t="str">
        <f>IFERROR(__xludf.DUMMYFUNCTION("GOOGLETRANSLATE(E2267, ""zh-CN"", ""en"")"),"Xinlong County")</f>
        <v>Xinlong County</v>
      </c>
      <c r="G2267" s="1">
        <v>5.13329E11</v>
      </c>
    </row>
    <row r="2268">
      <c r="A2268" s="1" t="s">
        <v>1904</v>
      </c>
      <c r="B2268" s="1" t="str">
        <f>IFERROR(__xludf.DUMMYFUNCTION("GOOGLETRANSLATE(A2194, ""zh-CN"", ""en"")"),"Sichuan Province")</f>
        <v>Sichuan Province</v>
      </c>
      <c r="C2268" s="1" t="s">
        <v>1924</v>
      </c>
      <c r="D2268" s="1" t="str">
        <f>IFERROR(__xludf.DUMMYFUNCTION("GOOGLETRANSLATE(C2268, ""zh-CN"", ""en"")"),"Ganzi Tibetan Autonomous Prefecture")</f>
        <v>Ganzi Tibetan Autonomous Prefecture</v>
      </c>
      <c r="E2268" s="1" t="s">
        <v>2081</v>
      </c>
      <c r="F2268" s="1" t="str">
        <f>IFERROR(__xludf.DUMMYFUNCTION("GOOGLETRANSLATE(E2268, ""zh-CN"", ""en"")"),"Derge County")</f>
        <v>Derge County</v>
      </c>
      <c r="G2268" s="1">
        <v>5.1333E11</v>
      </c>
    </row>
    <row r="2269">
      <c r="A2269" s="1" t="s">
        <v>1904</v>
      </c>
      <c r="B2269" s="1" t="str">
        <f>IFERROR(__xludf.DUMMYFUNCTION("GOOGLETRANSLATE(A2195, ""zh-CN"", ""en"")"),"Sichuan Province")</f>
        <v>Sichuan Province</v>
      </c>
      <c r="C2269" s="1" t="s">
        <v>1924</v>
      </c>
      <c r="D2269" s="1" t="str">
        <f>IFERROR(__xludf.DUMMYFUNCTION("GOOGLETRANSLATE(C2269, ""zh-CN"", ""en"")"),"Ganzi Tibetan Autonomous Prefecture")</f>
        <v>Ganzi Tibetan Autonomous Prefecture</v>
      </c>
      <c r="E2269" s="1" t="s">
        <v>2082</v>
      </c>
      <c r="F2269" s="1" t="str">
        <f>IFERROR(__xludf.DUMMYFUNCTION("GOOGLETRANSLATE(E2269, ""zh-CN"", ""en"")"),"Baiyu County")</f>
        <v>Baiyu County</v>
      </c>
      <c r="G2269" s="1">
        <v>5.13331E11</v>
      </c>
    </row>
    <row r="2270">
      <c r="A2270" s="1" t="s">
        <v>1904</v>
      </c>
      <c r="B2270" s="1" t="str">
        <f>IFERROR(__xludf.DUMMYFUNCTION("GOOGLETRANSLATE(A2196, ""zh-CN"", ""en"")"),"Sichuan Province")</f>
        <v>Sichuan Province</v>
      </c>
      <c r="C2270" s="1" t="s">
        <v>1924</v>
      </c>
      <c r="D2270" s="1" t="str">
        <f>IFERROR(__xludf.DUMMYFUNCTION("GOOGLETRANSLATE(C2270, ""zh-CN"", ""en"")"),"Ganzi Tibetan Autonomous Prefecture")</f>
        <v>Ganzi Tibetan Autonomous Prefecture</v>
      </c>
      <c r="E2270" s="1" t="s">
        <v>2083</v>
      </c>
      <c r="F2270" s="1" t="str">
        <f>IFERROR(__xludf.DUMMYFUNCTION("GOOGLETRANSLATE(E2270, ""zh-CN"", ""en"")"),"Shiqu County")</f>
        <v>Shiqu County</v>
      </c>
      <c r="G2270" s="1">
        <v>5.13332E11</v>
      </c>
    </row>
    <row r="2271">
      <c r="A2271" s="1" t="s">
        <v>1904</v>
      </c>
      <c r="B2271" s="1" t="str">
        <f>IFERROR(__xludf.DUMMYFUNCTION("GOOGLETRANSLATE(A2197, ""zh-CN"", ""en"")"),"Sichuan Province")</f>
        <v>Sichuan Province</v>
      </c>
      <c r="C2271" s="1" t="s">
        <v>1924</v>
      </c>
      <c r="D2271" s="1" t="str">
        <f>IFERROR(__xludf.DUMMYFUNCTION("GOOGLETRANSLATE(C2271, ""zh-CN"", ""en"")"),"Ganzi Tibetan Autonomous Prefecture")</f>
        <v>Ganzi Tibetan Autonomous Prefecture</v>
      </c>
      <c r="E2271" s="1" t="s">
        <v>2084</v>
      </c>
      <c r="F2271" s="1" t="str">
        <f>IFERROR(__xludf.DUMMYFUNCTION("GOOGLETRANSLATE(E2271, ""zh-CN"", ""en"")"),"Seda Prefecture")</f>
        <v>Seda Prefecture</v>
      </c>
      <c r="G2271" s="1">
        <v>5.13333E11</v>
      </c>
    </row>
    <row r="2272">
      <c r="A2272" s="1" t="s">
        <v>1904</v>
      </c>
      <c r="B2272" s="1" t="str">
        <f>IFERROR(__xludf.DUMMYFUNCTION("GOOGLETRANSLATE(A2198, ""zh-CN"", ""en"")"),"Sichuan Province")</f>
        <v>Sichuan Province</v>
      </c>
      <c r="C2272" s="1" t="s">
        <v>1924</v>
      </c>
      <c r="D2272" s="1" t="str">
        <f>IFERROR(__xludf.DUMMYFUNCTION("GOOGLETRANSLATE(C2272, ""zh-CN"", ""en"")"),"Ganzi Tibetan Autonomous Prefecture")</f>
        <v>Ganzi Tibetan Autonomous Prefecture</v>
      </c>
      <c r="E2272" s="1" t="s">
        <v>2085</v>
      </c>
      <c r="F2272" s="1" t="str">
        <f>IFERROR(__xludf.DUMMYFUNCTION("GOOGLETRANSLATE(E2272, ""zh-CN"", ""en"")"),"Litang County")</f>
        <v>Litang County</v>
      </c>
      <c r="G2272" s="1">
        <v>5.13334E11</v>
      </c>
    </row>
    <row r="2273">
      <c r="A2273" s="1" t="s">
        <v>1904</v>
      </c>
      <c r="B2273" s="1" t="str">
        <f>IFERROR(__xludf.DUMMYFUNCTION("GOOGLETRANSLATE(A2199, ""zh-CN"", ""en"")"),"Sichuan Province")</f>
        <v>Sichuan Province</v>
      </c>
      <c r="C2273" s="1" t="s">
        <v>1924</v>
      </c>
      <c r="D2273" s="1" t="str">
        <f>IFERROR(__xludf.DUMMYFUNCTION("GOOGLETRANSLATE(C2273, ""zh-CN"", ""en"")"),"Ganzi Tibetan Autonomous Prefecture")</f>
        <v>Ganzi Tibetan Autonomous Prefecture</v>
      </c>
      <c r="E2273" s="1" t="s">
        <v>2086</v>
      </c>
      <c r="F2273" s="1" t="str">
        <f>IFERROR(__xludf.DUMMYFUNCTION("GOOGLETRANSLATE(E2273, ""zh-CN"", ""en"")"),"Batang County")</f>
        <v>Batang County</v>
      </c>
      <c r="G2273" s="1">
        <v>5.13335E11</v>
      </c>
    </row>
    <row r="2274">
      <c r="A2274" s="1" t="s">
        <v>1904</v>
      </c>
      <c r="B2274" s="1" t="str">
        <f>IFERROR(__xludf.DUMMYFUNCTION("GOOGLETRANSLATE(A2200, ""zh-CN"", ""en"")"),"Sichuan Province")</f>
        <v>Sichuan Province</v>
      </c>
      <c r="C2274" s="1" t="s">
        <v>1924</v>
      </c>
      <c r="D2274" s="1" t="str">
        <f>IFERROR(__xludf.DUMMYFUNCTION("GOOGLETRANSLATE(C2274, ""zh-CN"", ""en"")"),"Ganzi Tibetan Autonomous Prefecture")</f>
        <v>Ganzi Tibetan Autonomous Prefecture</v>
      </c>
      <c r="E2274" s="1" t="s">
        <v>2087</v>
      </c>
      <c r="F2274" s="1" t="str">
        <f>IFERROR(__xludf.DUMMYFUNCTION("GOOGLETRANSLATE(E2274, ""zh-CN"", ""en"")"),"Township")</f>
        <v>Township</v>
      </c>
      <c r="G2274" s="1">
        <v>5.13336E11</v>
      </c>
    </row>
    <row r="2275">
      <c r="A2275" s="1" t="s">
        <v>1904</v>
      </c>
      <c r="B2275" s="1" t="str">
        <f>IFERROR(__xludf.DUMMYFUNCTION("GOOGLETRANSLATE(A2201, ""zh-CN"", ""en"")"),"Sichuan Province")</f>
        <v>Sichuan Province</v>
      </c>
      <c r="C2275" s="1" t="s">
        <v>1924</v>
      </c>
      <c r="D2275" s="1" t="str">
        <f>IFERROR(__xludf.DUMMYFUNCTION("GOOGLETRANSLATE(C2275, ""zh-CN"", ""en"")"),"Ganzi Tibetan Autonomous Prefecture")</f>
        <v>Ganzi Tibetan Autonomous Prefecture</v>
      </c>
      <c r="E2275" s="1" t="s">
        <v>2088</v>
      </c>
      <c r="F2275" s="1" t="str">
        <f>IFERROR(__xludf.DUMMYFUNCTION("GOOGLETRANSLATE(E2275, ""zh-CN"", ""en"")"),"Daocheng County")</f>
        <v>Daocheng County</v>
      </c>
      <c r="G2275" s="1">
        <v>5.13337E11</v>
      </c>
    </row>
    <row r="2276">
      <c r="A2276" s="1" t="s">
        <v>1904</v>
      </c>
      <c r="B2276" s="1" t="str">
        <f>IFERROR(__xludf.DUMMYFUNCTION("GOOGLETRANSLATE(A2202, ""zh-CN"", ""en"")"),"Sichuan Province")</f>
        <v>Sichuan Province</v>
      </c>
      <c r="C2276" s="1" t="s">
        <v>1924</v>
      </c>
      <c r="D2276" s="1" t="str">
        <f>IFERROR(__xludf.DUMMYFUNCTION("GOOGLETRANSLATE(C2276, ""zh-CN"", ""en"")"),"Ganzi Tibetan Autonomous Prefecture")</f>
        <v>Ganzi Tibetan Autonomous Prefecture</v>
      </c>
      <c r="E2276" s="1" t="s">
        <v>2089</v>
      </c>
      <c r="F2276" s="1" t="str">
        <f>IFERROR(__xludf.DUMMYFUNCTION("GOOGLETRANSLATE(E2276, ""zh-CN"", ""en"")"),"Yerong County")</f>
        <v>Yerong County</v>
      </c>
      <c r="G2276" s="1">
        <v>5.13338E11</v>
      </c>
    </row>
    <row r="2277">
      <c r="A2277" s="1" t="s">
        <v>1904</v>
      </c>
      <c r="B2277" s="1" t="str">
        <f>IFERROR(__xludf.DUMMYFUNCTION("GOOGLETRANSLATE(A2203, ""zh-CN"", ""en"")"),"Sichuan Province")</f>
        <v>Sichuan Province</v>
      </c>
      <c r="C2277" s="1" t="s">
        <v>1925</v>
      </c>
      <c r="D2277" s="1" t="str">
        <f>IFERROR(__xludf.DUMMYFUNCTION("GOOGLETRANSLATE(C2277, ""zh-CN"", ""en"")"),"Liangshan Yi Autonomous Prefecture")</f>
        <v>Liangshan Yi Autonomous Prefecture</v>
      </c>
      <c r="E2277" s="1" t="s">
        <v>2090</v>
      </c>
      <c r="F2277" s="1" t="str">
        <f>IFERROR(__xludf.DUMMYFUNCTION("GOOGLETRANSLATE(E2277, ""zh-CN"", ""en"")"),"Xichang City")</f>
        <v>Xichang City</v>
      </c>
      <c r="G2277" s="1">
        <v>5.13401E11</v>
      </c>
    </row>
    <row r="2278">
      <c r="A2278" s="1" t="s">
        <v>1904</v>
      </c>
      <c r="B2278" s="1" t="str">
        <f>IFERROR(__xludf.DUMMYFUNCTION("GOOGLETRANSLATE(A2204, ""zh-CN"", ""en"")"),"Sichuan Province")</f>
        <v>Sichuan Province</v>
      </c>
      <c r="C2278" s="1" t="s">
        <v>1925</v>
      </c>
      <c r="D2278" s="1" t="str">
        <f>IFERROR(__xludf.DUMMYFUNCTION("GOOGLETRANSLATE(C2278, ""zh-CN"", ""en"")"),"Liangshan Yi Autonomous Prefecture")</f>
        <v>Liangshan Yi Autonomous Prefecture</v>
      </c>
      <c r="E2278" s="1" t="s">
        <v>2091</v>
      </c>
      <c r="F2278" s="1" t="str">
        <f>IFERROR(__xludf.DUMMYFUNCTION("GOOGLETRANSLATE(E2278, ""zh-CN"", ""en"")"),"Huili City")</f>
        <v>Huili City</v>
      </c>
      <c r="G2278" s="1">
        <v>5.13402E11</v>
      </c>
    </row>
    <row r="2279">
      <c r="A2279" s="1" t="s">
        <v>1904</v>
      </c>
      <c r="B2279" s="1" t="str">
        <f>IFERROR(__xludf.DUMMYFUNCTION("GOOGLETRANSLATE(A2205, ""zh-CN"", ""en"")"),"Sichuan Province")</f>
        <v>Sichuan Province</v>
      </c>
      <c r="C2279" s="1" t="s">
        <v>1925</v>
      </c>
      <c r="D2279" s="1" t="str">
        <f>IFERROR(__xludf.DUMMYFUNCTION("GOOGLETRANSLATE(C2279, ""zh-CN"", ""en"")"),"Liangshan Yi Autonomous Prefecture")</f>
        <v>Liangshan Yi Autonomous Prefecture</v>
      </c>
      <c r="E2279" s="1" t="s">
        <v>2092</v>
      </c>
      <c r="F2279" s="1" t="str">
        <f>IFERROR(__xludf.DUMMYFUNCTION("GOOGLETRANSLATE(E2279, ""zh-CN"", ""en"")"),"Tibetan Autonomous County")</f>
        <v>Tibetan Autonomous County</v>
      </c>
      <c r="G2279" s="1">
        <v>5.13422E11</v>
      </c>
    </row>
    <row r="2280">
      <c r="A2280" s="1" t="s">
        <v>1904</v>
      </c>
      <c r="B2280" s="1" t="str">
        <f>IFERROR(__xludf.DUMMYFUNCTION("GOOGLETRANSLATE(A2206, ""zh-CN"", ""en"")"),"Sichuan Province")</f>
        <v>Sichuan Province</v>
      </c>
      <c r="C2280" s="1" t="s">
        <v>1925</v>
      </c>
      <c r="D2280" s="1" t="str">
        <f>IFERROR(__xludf.DUMMYFUNCTION("GOOGLETRANSLATE(C2280, ""zh-CN"", ""en"")"),"Liangshan Yi Autonomous Prefecture")</f>
        <v>Liangshan Yi Autonomous Prefecture</v>
      </c>
      <c r="E2280" s="1" t="s">
        <v>2093</v>
      </c>
      <c r="F2280" s="1" t="str">
        <f>IFERROR(__xludf.DUMMYFUNCTION("GOOGLETRANSLATE(E2280, ""zh-CN"", ""en"")"),"Yanyuan County")</f>
        <v>Yanyuan County</v>
      </c>
      <c r="G2280" s="1">
        <v>5.13423E11</v>
      </c>
    </row>
    <row r="2281">
      <c r="A2281" s="1" t="s">
        <v>1904</v>
      </c>
      <c r="B2281" s="1" t="str">
        <f>IFERROR(__xludf.DUMMYFUNCTION("GOOGLETRANSLATE(A2207, ""zh-CN"", ""en"")"),"Sichuan Province")</f>
        <v>Sichuan Province</v>
      </c>
      <c r="C2281" s="1" t="s">
        <v>1925</v>
      </c>
      <c r="D2281" s="1" t="str">
        <f>IFERROR(__xludf.DUMMYFUNCTION("GOOGLETRANSLATE(C2281, ""zh-CN"", ""en"")"),"Liangshan Yi Autonomous Prefecture")</f>
        <v>Liangshan Yi Autonomous Prefecture</v>
      </c>
      <c r="E2281" s="1" t="s">
        <v>2094</v>
      </c>
      <c r="F2281" s="1" t="str">
        <f>IFERROR(__xludf.DUMMYFUNCTION("GOOGLETRANSLATE(E2281, ""zh-CN"", ""en"")"),"Dechang County")</f>
        <v>Dechang County</v>
      </c>
      <c r="G2281" s="1">
        <v>5.13424E11</v>
      </c>
    </row>
    <row r="2282">
      <c r="A2282" s="1" t="s">
        <v>1904</v>
      </c>
      <c r="B2282" s="1" t="str">
        <f>IFERROR(__xludf.DUMMYFUNCTION("GOOGLETRANSLATE(A2208, ""zh-CN"", ""en"")"),"Sichuan Province")</f>
        <v>Sichuan Province</v>
      </c>
      <c r="C2282" s="1" t="s">
        <v>1925</v>
      </c>
      <c r="D2282" s="1" t="str">
        <f>IFERROR(__xludf.DUMMYFUNCTION("GOOGLETRANSLATE(C2282, ""zh-CN"", ""en"")"),"Liangshan Yi Autonomous Prefecture")</f>
        <v>Liangshan Yi Autonomous Prefecture</v>
      </c>
      <c r="E2282" s="1" t="s">
        <v>2095</v>
      </c>
      <c r="F2282" s="1" t="str">
        <f>IFERROR(__xludf.DUMMYFUNCTION("GOOGLETRANSLATE(E2282, ""zh-CN"", ""en"")"),"Huidong County")</f>
        <v>Huidong County</v>
      </c>
      <c r="G2282" s="1">
        <v>5.13426E11</v>
      </c>
    </row>
    <row r="2283">
      <c r="A2283" s="1" t="s">
        <v>1904</v>
      </c>
      <c r="B2283" s="1" t="str">
        <f>IFERROR(__xludf.DUMMYFUNCTION("GOOGLETRANSLATE(A2209, ""zh-CN"", ""en"")"),"Sichuan Province")</f>
        <v>Sichuan Province</v>
      </c>
      <c r="C2283" s="1" t="s">
        <v>1925</v>
      </c>
      <c r="D2283" s="1" t="str">
        <f>IFERROR(__xludf.DUMMYFUNCTION("GOOGLETRANSLATE(C2283, ""zh-CN"", ""en"")"),"Liangshan Yi Autonomous Prefecture")</f>
        <v>Liangshan Yi Autonomous Prefecture</v>
      </c>
      <c r="E2283" s="1" t="s">
        <v>2096</v>
      </c>
      <c r="F2283" s="1" t="str">
        <f>IFERROR(__xludf.DUMMYFUNCTION("GOOGLETRANSLATE(E2283, ""zh-CN"", ""en"")"),"Ningnan County")</f>
        <v>Ningnan County</v>
      </c>
      <c r="G2283" s="1">
        <v>5.13427E11</v>
      </c>
    </row>
    <row r="2284">
      <c r="A2284" s="1" t="s">
        <v>1904</v>
      </c>
      <c r="B2284" s="1" t="str">
        <f>IFERROR(__xludf.DUMMYFUNCTION("GOOGLETRANSLATE(A2210, ""zh-CN"", ""en"")"),"Sichuan Province")</f>
        <v>Sichuan Province</v>
      </c>
      <c r="C2284" s="1" t="s">
        <v>1925</v>
      </c>
      <c r="D2284" s="1" t="str">
        <f>IFERROR(__xludf.DUMMYFUNCTION("GOOGLETRANSLATE(C2284, ""zh-CN"", ""en"")"),"Liangshan Yi Autonomous Prefecture")</f>
        <v>Liangshan Yi Autonomous Prefecture</v>
      </c>
      <c r="E2284" s="1" t="s">
        <v>2097</v>
      </c>
      <c r="F2284" s="1" t="str">
        <f>IFERROR(__xludf.DUMMYFUNCTION("GOOGLETRANSLATE(E2284, ""zh-CN"", ""en"")"),"Pigx")</f>
        <v>Pigx</v>
      </c>
      <c r="G2284" s="1">
        <v>5.13428E11</v>
      </c>
    </row>
    <row r="2285">
      <c r="A2285" s="1" t="s">
        <v>1904</v>
      </c>
      <c r="B2285" s="1" t="str">
        <f>IFERROR(__xludf.DUMMYFUNCTION("GOOGLETRANSLATE(A2211, ""zh-CN"", ""en"")"),"Sichuan Province")</f>
        <v>Sichuan Province</v>
      </c>
      <c r="C2285" s="1" t="s">
        <v>1925</v>
      </c>
      <c r="D2285" s="1" t="str">
        <f>IFERROR(__xludf.DUMMYFUNCTION("GOOGLETRANSLATE(C2285, ""zh-CN"", ""en"")"),"Liangshan Yi Autonomous Prefecture")</f>
        <v>Liangshan Yi Autonomous Prefecture</v>
      </c>
      <c r="E2285" s="1" t="s">
        <v>2098</v>
      </c>
      <c r="F2285" s="1" t="str">
        <f>IFERROR(__xludf.DUMMYFUNCTION("GOOGLETRANSLATE(E2285, ""zh-CN"", ""en"")"),"Budao County")</f>
        <v>Budao County</v>
      </c>
      <c r="G2285" s="1">
        <v>5.13429E11</v>
      </c>
    </row>
    <row r="2286">
      <c r="A2286" s="1" t="s">
        <v>1904</v>
      </c>
      <c r="B2286" s="1" t="str">
        <f>IFERROR(__xludf.DUMMYFUNCTION("GOOGLETRANSLATE(A2212, ""zh-CN"", ""en"")"),"Sichuan Province")</f>
        <v>Sichuan Province</v>
      </c>
      <c r="C2286" s="1" t="s">
        <v>1925</v>
      </c>
      <c r="D2286" s="1" t="str">
        <f>IFERROR(__xludf.DUMMYFUNCTION("GOOGLETRANSLATE(C2286, ""zh-CN"", ""en"")"),"Liangshan Yi Autonomous Prefecture")</f>
        <v>Liangshan Yi Autonomous Prefecture</v>
      </c>
      <c r="E2286" s="1" t="s">
        <v>2099</v>
      </c>
      <c r="F2286" s="1" t="str">
        <f>IFERROR(__xludf.DUMMYFUNCTION("GOOGLETRANSLATE(E2286, ""zh-CN"", ""en"")"),"Jinyang County")</f>
        <v>Jinyang County</v>
      </c>
      <c r="G2286" s="1">
        <v>5.1343E11</v>
      </c>
    </row>
    <row r="2287">
      <c r="A2287" s="1" t="s">
        <v>1904</v>
      </c>
      <c r="B2287" s="1" t="str">
        <f>IFERROR(__xludf.DUMMYFUNCTION("GOOGLETRANSLATE(A2213, ""zh-CN"", ""en"")"),"Sichuan Province")</f>
        <v>Sichuan Province</v>
      </c>
      <c r="C2287" s="1" t="s">
        <v>1925</v>
      </c>
      <c r="D2287" s="1" t="str">
        <f>IFERROR(__xludf.DUMMYFUNCTION("GOOGLETRANSLATE(C2287, ""zh-CN"", ""en"")"),"Liangshan Yi Autonomous Prefecture")</f>
        <v>Liangshan Yi Autonomous Prefecture</v>
      </c>
      <c r="E2287" s="1" t="s">
        <v>2100</v>
      </c>
      <c r="F2287" s="1" t="str">
        <f>IFERROR(__xludf.DUMMYFUNCTION("GOOGLETRANSLATE(E2287, ""zh-CN"", ""en"")"),"Zhaojue County")</f>
        <v>Zhaojue County</v>
      </c>
      <c r="G2287" s="1">
        <v>5.13431E11</v>
      </c>
    </row>
    <row r="2288">
      <c r="A2288" s="1" t="s">
        <v>1904</v>
      </c>
      <c r="B2288" s="1" t="str">
        <f>IFERROR(__xludf.DUMMYFUNCTION("GOOGLETRANSLATE(A2214, ""zh-CN"", ""en"")"),"Sichuan Province")</f>
        <v>Sichuan Province</v>
      </c>
      <c r="C2288" s="1" t="s">
        <v>1925</v>
      </c>
      <c r="D2288" s="1" t="str">
        <f>IFERROR(__xludf.DUMMYFUNCTION("GOOGLETRANSLATE(C2288, ""zh-CN"", ""en"")"),"Liangshan Yi Autonomous Prefecture")</f>
        <v>Liangshan Yi Autonomous Prefecture</v>
      </c>
      <c r="E2288" s="1" t="s">
        <v>2101</v>
      </c>
      <c r="F2288" s="1" t="str">
        <f>IFERROR(__xludf.DUMMYFUNCTION("GOOGLETRANSLATE(E2288, ""zh-CN"", ""en"")"),"Xide County")</f>
        <v>Xide County</v>
      </c>
      <c r="G2288" s="1">
        <v>5.13432E11</v>
      </c>
    </row>
    <row r="2289">
      <c r="A2289" s="1" t="s">
        <v>1904</v>
      </c>
      <c r="B2289" s="1" t="str">
        <f>IFERROR(__xludf.DUMMYFUNCTION("GOOGLETRANSLATE(A2215, ""zh-CN"", ""en"")"),"Sichuan Province")</f>
        <v>Sichuan Province</v>
      </c>
      <c r="C2289" s="1" t="s">
        <v>1925</v>
      </c>
      <c r="D2289" s="1" t="str">
        <f>IFERROR(__xludf.DUMMYFUNCTION("GOOGLETRANSLATE(C2289, ""zh-CN"", ""en"")"),"Liangshan Yi Autonomous Prefecture")</f>
        <v>Liangshan Yi Autonomous Prefecture</v>
      </c>
      <c r="E2289" s="1" t="s">
        <v>2102</v>
      </c>
      <c r="F2289" s="1" t="str">
        <f>IFERROR(__xludf.DUMMYFUNCTION("GOOGLETRANSLATE(E2289, ""zh-CN"", ""en"")"),"Mianning County")</f>
        <v>Mianning County</v>
      </c>
      <c r="G2289" s="1">
        <v>5.13433E11</v>
      </c>
    </row>
    <row r="2290">
      <c r="A2290" s="1" t="s">
        <v>1904</v>
      </c>
      <c r="B2290" s="1" t="str">
        <f>IFERROR(__xludf.DUMMYFUNCTION("GOOGLETRANSLATE(A2216, ""zh-CN"", ""en"")"),"Sichuan Province")</f>
        <v>Sichuan Province</v>
      </c>
      <c r="C2290" s="1" t="s">
        <v>1925</v>
      </c>
      <c r="D2290" s="1" t="str">
        <f>IFERROR(__xludf.DUMMYFUNCTION("GOOGLETRANSLATE(C2290, ""zh-CN"", ""en"")"),"Liangshan Yi Autonomous Prefecture")</f>
        <v>Liangshan Yi Autonomous Prefecture</v>
      </c>
      <c r="E2290" s="1" t="s">
        <v>2103</v>
      </c>
      <c r="F2290" s="1" t="str">
        <f>IFERROR(__xludf.DUMMYFUNCTION("GOOGLETRANSLATE(E2290, ""zh-CN"", ""en"")"),"Yuexi County")</f>
        <v>Yuexi County</v>
      </c>
      <c r="G2290" s="1">
        <v>5.13434E11</v>
      </c>
    </row>
    <row r="2291">
      <c r="A2291" s="1" t="s">
        <v>1904</v>
      </c>
      <c r="B2291" s="1" t="str">
        <f>IFERROR(__xludf.DUMMYFUNCTION("GOOGLETRANSLATE(A2217, ""zh-CN"", ""en"")"),"Sichuan Province")</f>
        <v>Sichuan Province</v>
      </c>
      <c r="C2291" s="1" t="s">
        <v>1925</v>
      </c>
      <c r="D2291" s="1" t="str">
        <f>IFERROR(__xludf.DUMMYFUNCTION("GOOGLETRANSLATE(C2291, ""zh-CN"", ""en"")"),"Liangshan Yi Autonomous Prefecture")</f>
        <v>Liangshan Yi Autonomous Prefecture</v>
      </c>
      <c r="E2291" s="1" t="s">
        <v>2104</v>
      </c>
      <c r="F2291" s="1" t="str">
        <f>IFERROR(__xludf.DUMMYFUNCTION("GOOGLETRANSLATE(E2291, ""zh-CN"", ""en"")"),"Ganluo County")</f>
        <v>Ganluo County</v>
      </c>
      <c r="G2291" s="1">
        <v>5.13435E11</v>
      </c>
    </row>
    <row r="2292">
      <c r="A2292" s="1" t="s">
        <v>1904</v>
      </c>
      <c r="B2292" s="1" t="str">
        <f>IFERROR(__xludf.DUMMYFUNCTION("GOOGLETRANSLATE(A2218, ""zh-CN"", ""en"")"),"Sichuan Province")</f>
        <v>Sichuan Province</v>
      </c>
      <c r="C2292" s="1" t="s">
        <v>1925</v>
      </c>
      <c r="D2292" s="1" t="str">
        <f>IFERROR(__xludf.DUMMYFUNCTION("GOOGLETRANSLATE(C2292, ""zh-CN"", ""en"")"),"Liangshan Yi Autonomous Prefecture")</f>
        <v>Liangshan Yi Autonomous Prefecture</v>
      </c>
      <c r="E2292" s="1" t="s">
        <v>2105</v>
      </c>
      <c r="F2292" s="1" t="str">
        <f>IFERROR(__xludf.DUMMYFUNCTION("GOOGLETRANSLATE(E2292, ""zh-CN"", ""en"")"),"Meagu County")</f>
        <v>Meagu County</v>
      </c>
      <c r="G2292" s="1">
        <v>5.13436E11</v>
      </c>
    </row>
    <row r="2293">
      <c r="A2293" s="1" t="s">
        <v>1904</v>
      </c>
      <c r="B2293" s="1" t="str">
        <f>IFERROR(__xludf.DUMMYFUNCTION("GOOGLETRANSLATE(A2219, ""zh-CN"", ""en"")"),"Sichuan Province")</f>
        <v>Sichuan Province</v>
      </c>
      <c r="C2293" s="1" t="s">
        <v>1925</v>
      </c>
      <c r="D2293" s="1" t="str">
        <f>IFERROR(__xludf.DUMMYFUNCTION("GOOGLETRANSLATE(C2293, ""zh-CN"", ""en"")"),"Liangshan Yi Autonomous Prefecture")</f>
        <v>Liangshan Yi Autonomous Prefecture</v>
      </c>
      <c r="E2293" s="1" t="s">
        <v>2106</v>
      </c>
      <c r="F2293" s="1" t="str">
        <f>IFERROR(__xludf.DUMMYFUNCTION("GOOGLETRANSLATE(E2293, ""zh-CN"", ""en"")"),"Leibo County")</f>
        <v>Leibo County</v>
      </c>
      <c r="G2293" s="1">
        <v>5.13437E11</v>
      </c>
    </row>
    <row r="2294">
      <c r="A2294" s="1" t="s">
        <v>2107</v>
      </c>
      <c r="B2294" s="1" t="str">
        <f>IFERROR(__xludf.DUMMYFUNCTION("GOOGLETRANSLATE(A2220, ""zh-CN"", ""en"")"),"Sichuan Province")</f>
        <v>Sichuan Province</v>
      </c>
      <c r="C2294" s="1" t="s">
        <v>8</v>
      </c>
      <c r="D2294" s="1" t="str">
        <f>IFERROR(__xludf.DUMMYFUNCTION("GOOGLETRANSLATE(C2294, ""zh-CN"", ""en"")"),"Na")</f>
        <v>Na</v>
      </c>
      <c r="E2294" s="1" t="s">
        <v>8</v>
      </c>
      <c r="F2294" s="1" t="str">
        <f>IFERROR(__xludf.DUMMYFUNCTION("GOOGLETRANSLATE(E2294, ""zh-CN"", ""en"")"),"Na")</f>
        <v>Na</v>
      </c>
      <c r="G2294" s="1">
        <v>41.0</v>
      </c>
    </row>
    <row r="2295">
      <c r="A2295" s="1" t="s">
        <v>2107</v>
      </c>
      <c r="B2295" s="1" t="str">
        <f>IFERROR(__xludf.DUMMYFUNCTION("GOOGLETRANSLATE(A2221, ""zh-CN"", ""en"")"),"Sichuan Province")</f>
        <v>Sichuan Province</v>
      </c>
      <c r="C2295" s="1" t="s">
        <v>2108</v>
      </c>
      <c r="D2295" s="1" t="str">
        <f>IFERROR(__xludf.DUMMYFUNCTION("GOOGLETRANSLATE(C2295, ""zh-CN"", ""en"")"),"Zhengzhou City")</f>
        <v>Zhengzhou City</v>
      </c>
      <c r="E2295" s="1" t="s">
        <v>8</v>
      </c>
      <c r="F2295" s="1" t="str">
        <f>IFERROR(__xludf.DUMMYFUNCTION("GOOGLETRANSLATE(E2295, ""zh-CN"", ""en"")"),"Na")</f>
        <v>Na</v>
      </c>
      <c r="G2295" s="1">
        <v>4.101E11</v>
      </c>
    </row>
    <row r="2296">
      <c r="A2296" s="1" t="s">
        <v>2107</v>
      </c>
      <c r="B2296" s="1" t="str">
        <f>IFERROR(__xludf.DUMMYFUNCTION("GOOGLETRANSLATE(A2222, ""zh-CN"", ""en"")"),"Sichuan Province")</f>
        <v>Sichuan Province</v>
      </c>
      <c r="C2296" s="1" t="s">
        <v>2109</v>
      </c>
      <c r="D2296" s="1" t="str">
        <f>IFERROR(__xludf.DUMMYFUNCTION("GOOGLETRANSLATE(C2296, ""zh-CN"", ""en"")"),"Kaifeng City")</f>
        <v>Kaifeng City</v>
      </c>
      <c r="E2296" s="1" t="s">
        <v>8</v>
      </c>
      <c r="F2296" s="1" t="str">
        <f>IFERROR(__xludf.DUMMYFUNCTION("GOOGLETRANSLATE(E2296, ""zh-CN"", ""en"")"),"Na")</f>
        <v>Na</v>
      </c>
      <c r="G2296" s="1">
        <v>4.102E11</v>
      </c>
    </row>
    <row r="2297">
      <c r="A2297" s="1" t="s">
        <v>2107</v>
      </c>
      <c r="B2297" s="1" t="str">
        <f>IFERROR(__xludf.DUMMYFUNCTION("GOOGLETRANSLATE(A2223, ""zh-CN"", ""en"")"),"Sichuan Province")</f>
        <v>Sichuan Province</v>
      </c>
      <c r="C2297" s="1" t="s">
        <v>2110</v>
      </c>
      <c r="D2297" s="1" t="str">
        <f>IFERROR(__xludf.DUMMYFUNCTION("GOOGLETRANSLATE(C2297, ""zh-CN"", ""en"")"),"Luoyang City")</f>
        <v>Luoyang City</v>
      </c>
      <c r="E2297" s="1" t="s">
        <v>8</v>
      </c>
      <c r="F2297" s="1" t="str">
        <f>IFERROR(__xludf.DUMMYFUNCTION("GOOGLETRANSLATE(E2297, ""zh-CN"", ""en"")"),"Na")</f>
        <v>Na</v>
      </c>
      <c r="G2297" s="1">
        <v>4.103E11</v>
      </c>
    </row>
    <row r="2298">
      <c r="A2298" s="1" t="s">
        <v>2107</v>
      </c>
      <c r="B2298" s="1" t="str">
        <f>IFERROR(__xludf.DUMMYFUNCTION("GOOGLETRANSLATE(A2224, ""zh-CN"", ""en"")"),"Sichuan Province")</f>
        <v>Sichuan Province</v>
      </c>
      <c r="C2298" s="1" t="s">
        <v>2111</v>
      </c>
      <c r="D2298" s="1" t="str">
        <f>IFERROR(__xludf.DUMMYFUNCTION("GOOGLETRANSLATE(C2298, ""zh-CN"", ""en"")"),"Pingdingshan City")</f>
        <v>Pingdingshan City</v>
      </c>
      <c r="E2298" s="1" t="s">
        <v>8</v>
      </c>
      <c r="F2298" s="1" t="str">
        <f>IFERROR(__xludf.DUMMYFUNCTION("GOOGLETRANSLATE(E2298, ""zh-CN"", ""en"")"),"Na")</f>
        <v>Na</v>
      </c>
      <c r="G2298" s="1">
        <v>4.104E11</v>
      </c>
    </row>
    <row r="2299">
      <c r="A2299" s="1" t="s">
        <v>2107</v>
      </c>
      <c r="B2299" s="1" t="str">
        <f>IFERROR(__xludf.DUMMYFUNCTION("GOOGLETRANSLATE(A2225, ""zh-CN"", ""en"")"),"Sichuan Province")</f>
        <v>Sichuan Province</v>
      </c>
      <c r="C2299" s="1" t="s">
        <v>2112</v>
      </c>
      <c r="D2299" s="1" t="str">
        <f>IFERROR(__xludf.DUMMYFUNCTION("GOOGLETRANSLATE(C2299, ""zh-CN"", ""en"")"),"Anyang")</f>
        <v>Anyang</v>
      </c>
      <c r="E2299" s="1" t="s">
        <v>8</v>
      </c>
      <c r="F2299" s="1" t="str">
        <f>IFERROR(__xludf.DUMMYFUNCTION("GOOGLETRANSLATE(E2299, ""zh-CN"", ""en"")"),"Na")</f>
        <v>Na</v>
      </c>
      <c r="G2299" s="1">
        <v>4.105E11</v>
      </c>
    </row>
    <row r="2300">
      <c r="A2300" s="1" t="s">
        <v>2107</v>
      </c>
      <c r="B2300" s="1" t="str">
        <f>IFERROR(__xludf.DUMMYFUNCTION("GOOGLETRANSLATE(A2226, ""zh-CN"", ""en"")"),"Sichuan Province")</f>
        <v>Sichuan Province</v>
      </c>
      <c r="C2300" s="1" t="s">
        <v>2113</v>
      </c>
      <c r="D2300" s="1" t="str">
        <f>IFERROR(__xludf.DUMMYFUNCTION("GOOGLETRANSLATE(C2300, ""zh-CN"", ""en"")"),"Hebi City")</f>
        <v>Hebi City</v>
      </c>
      <c r="E2300" s="1" t="s">
        <v>8</v>
      </c>
      <c r="F2300" s="1" t="str">
        <f>IFERROR(__xludf.DUMMYFUNCTION("GOOGLETRANSLATE(E2300, ""zh-CN"", ""en"")"),"Na")</f>
        <v>Na</v>
      </c>
      <c r="G2300" s="1">
        <v>4.106E11</v>
      </c>
    </row>
    <row r="2301">
      <c r="A2301" s="1" t="s">
        <v>2107</v>
      </c>
      <c r="B2301" s="1" t="str">
        <f>IFERROR(__xludf.DUMMYFUNCTION("GOOGLETRANSLATE(A2227, ""zh-CN"", ""en"")"),"Sichuan Province")</f>
        <v>Sichuan Province</v>
      </c>
      <c r="C2301" s="1" t="s">
        <v>2114</v>
      </c>
      <c r="D2301" s="1" t="str">
        <f>IFERROR(__xludf.DUMMYFUNCTION("GOOGLETRANSLATE(C2301, ""zh-CN"", ""en"")"),"Xinxiang City")</f>
        <v>Xinxiang City</v>
      </c>
      <c r="E2301" s="1" t="s">
        <v>8</v>
      </c>
      <c r="F2301" s="1" t="str">
        <f>IFERROR(__xludf.DUMMYFUNCTION("GOOGLETRANSLATE(E2301, ""zh-CN"", ""en"")"),"Na")</f>
        <v>Na</v>
      </c>
      <c r="G2301" s="1">
        <v>4.107E11</v>
      </c>
    </row>
    <row r="2302">
      <c r="A2302" s="1" t="s">
        <v>2107</v>
      </c>
      <c r="B2302" s="1" t="str">
        <f>IFERROR(__xludf.DUMMYFUNCTION("GOOGLETRANSLATE(A2228, ""zh-CN"", ""en"")"),"Sichuan Province")</f>
        <v>Sichuan Province</v>
      </c>
      <c r="C2302" s="1" t="s">
        <v>2115</v>
      </c>
      <c r="D2302" s="1" t="str">
        <f>IFERROR(__xludf.DUMMYFUNCTION("GOOGLETRANSLATE(C2302, ""zh-CN"", ""en"")"),"Jiaozuo City")</f>
        <v>Jiaozuo City</v>
      </c>
      <c r="E2302" s="1" t="s">
        <v>8</v>
      </c>
      <c r="F2302" s="1" t="str">
        <f>IFERROR(__xludf.DUMMYFUNCTION("GOOGLETRANSLATE(E2302, ""zh-CN"", ""en"")"),"Na")</f>
        <v>Na</v>
      </c>
      <c r="G2302" s="1">
        <v>4.108E11</v>
      </c>
    </row>
    <row r="2303">
      <c r="A2303" s="1" t="s">
        <v>2107</v>
      </c>
      <c r="B2303" s="1" t="str">
        <f>IFERROR(__xludf.DUMMYFUNCTION("GOOGLETRANSLATE(A2229, ""zh-CN"", ""en"")"),"Sichuan Province")</f>
        <v>Sichuan Province</v>
      </c>
      <c r="C2303" s="1" t="s">
        <v>2116</v>
      </c>
      <c r="D2303" s="1" t="str">
        <f>IFERROR(__xludf.DUMMYFUNCTION("GOOGLETRANSLATE(C2303, ""zh-CN"", ""en"")"),"Puyang City")</f>
        <v>Puyang City</v>
      </c>
      <c r="E2303" s="1" t="s">
        <v>8</v>
      </c>
      <c r="F2303" s="1" t="str">
        <f>IFERROR(__xludf.DUMMYFUNCTION("GOOGLETRANSLATE(E2303, ""zh-CN"", ""en"")"),"Na")</f>
        <v>Na</v>
      </c>
      <c r="G2303" s="1">
        <v>4.109E11</v>
      </c>
    </row>
    <row r="2304">
      <c r="A2304" s="1" t="s">
        <v>2107</v>
      </c>
      <c r="B2304" s="1" t="str">
        <f>IFERROR(__xludf.DUMMYFUNCTION("GOOGLETRANSLATE(A2230, ""zh-CN"", ""en"")"),"Sichuan Province")</f>
        <v>Sichuan Province</v>
      </c>
      <c r="C2304" s="1" t="s">
        <v>2117</v>
      </c>
      <c r="D2304" s="1" t="str">
        <f>IFERROR(__xludf.DUMMYFUNCTION("GOOGLETRANSLATE(C2304, ""zh-CN"", ""en"")"),"Xuchang")</f>
        <v>Xuchang</v>
      </c>
      <c r="E2304" s="1" t="s">
        <v>8</v>
      </c>
      <c r="F2304" s="1" t="str">
        <f>IFERROR(__xludf.DUMMYFUNCTION("GOOGLETRANSLATE(E2304, ""zh-CN"", ""en"")"),"Na")</f>
        <v>Na</v>
      </c>
      <c r="G2304" s="1">
        <v>4.11E11</v>
      </c>
    </row>
    <row r="2305">
      <c r="A2305" s="1" t="s">
        <v>2107</v>
      </c>
      <c r="B2305" s="1" t="str">
        <f>IFERROR(__xludf.DUMMYFUNCTION("GOOGLETRANSLATE(A2231, ""zh-CN"", ""en"")"),"Sichuan Province")</f>
        <v>Sichuan Province</v>
      </c>
      <c r="C2305" s="1" t="s">
        <v>2118</v>
      </c>
      <c r="D2305" s="1" t="str">
        <f>IFERROR(__xludf.DUMMYFUNCTION("GOOGLETRANSLATE(C2305, ""zh-CN"", ""en"")"),"Luohe City")</f>
        <v>Luohe City</v>
      </c>
      <c r="E2305" s="1" t="s">
        <v>8</v>
      </c>
      <c r="F2305" s="1" t="str">
        <f>IFERROR(__xludf.DUMMYFUNCTION("GOOGLETRANSLATE(E2305, ""zh-CN"", ""en"")"),"Na")</f>
        <v>Na</v>
      </c>
      <c r="G2305" s="1">
        <v>4.111E11</v>
      </c>
    </row>
    <row r="2306">
      <c r="A2306" s="1" t="s">
        <v>2107</v>
      </c>
      <c r="B2306" s="1" t="str">
        <f>IFERROR(__xludf.DUMMYFUNCTION("GOOGLETRANSLATE(A2232, ""zh-CN"", ""en"")"),"Sichuan Province")</f>
        <v>Sichuan Province</v>
      </c>
      <c r="C2306" s="1" t="s">
        <v>2119</v>
      </c>
      <c r="D2306" s="1" t="str">
        <f>IFERROR(__xludf.DUMMYFUNCTION("GOOGLETRANSLATE(C2306, ""zh-CN"", ""en"")"),"Sanmenxia City")</f>
        <v>Sanmenxia City</v>
      </c>
      <c r="E2306" s="1" t="s">
        <v>8</v>
      </c>
      <c r="F2306" s="1" t="str">
        <f>IFERROR(__xludf.DUMMYFUNCTION("GOOGLETRANSLATE(E2306, ""zh-CN"", ""en"")"),"Na")</f>
        <v>Na</v>
      </c>
      <c r="G2306" s="1">
        <v>4.112E11</v>
      </c>
    </row>
    <row r="2307">
      <c r="A2307" s="1" t="s">
        <v>2107</v>
      </c>
      <c r="B2307" s="1" t="str">
        <f>IFERROR(__xludf.DUMMYFUNCTION("GOOGLETRANSLATE(A2233, ""zh-CN"", ""en"")"),"Sichuan Province")</f>
        <v>Sichuan Province</v>
      </c>
      <c r="C2307" s="1" t="s">
        <v>2120</v>
      </c>
      <c r="D2307" s="1" t="str">
        <f>IFERROR(__xludf.DUMMYFUNCTION("GOOGLETRANSLATE(C2307, ""zh-CN"", ""en"")"),"Nanyang City")</f>
        <v>Nanyang City</v>
      </c>
      <c r="E2307" s="1" t="s">
        <v>8</v>
      </c>
      <c r="F2307" s="1" t="str">
        <f>IFERROR(__xludf.DUMMYFUNCTION("GOOGLETRANSLATE(E2307, ""zh-CN"", ""en"")"),"Na")</f>
        <v>Na</v>
      </c>
      <c r="G2307" s="1">
        <v>4.113E11</v>
      </c>
    </row>
    <row r="2308">
      <c r="A2308" s="1" t="s">
        <v>2107</v>
      </c>
      <c r="B2308" s="1" t="str">
        <f>IFERROR(__xludf.DUMMYFUNCTION("GOOGLETRANSLATE(A2234, ""zh-CN"", ""en"")"),"Sichuan Province")</f>
        <v>Sichuan Province</v>
      </c>
      <c r="C2308" s="1" t="s">
        <v>2121</v>
      </c>
      <c r="D2308" s="1" t="str">
        <f>IFERROR(__xludf.DUMMYFUNCTION("GOOGLETRANSLATE(C2308, ""zh-CN"", ""en"")"),"Shangqiu City")</f>
        <v>Shangqiu City</v>
      </c>
      <c r="E2308" s="1" t="s">
        <v>8</v>
      </c>
      <c r="F2308" s="1" t="str">
        <f>IFERROR(__xludf.DUMMYFUNCTION("GOOGLETRANSLATE(E2308, ""zh-CN"", ""en"")"),"Na")</f>
        <v>Na</v>
      </c>
      <c r="G2308" s="1">
        <v>4.114E11</v>
      </c>
    </row>
    <row r="2309">
      <c r="A2309" s="1" t="s">
        <v>2107</v>
      </c>
      <c r="B2309" s="1" t="str">
        <f>IFERROR(__xludf.DUMMYFUNCTION("GOOGLETRANSLATE(A2235, ""zh-CN"", ""en"")"),"Sichuan Province")</f>
        <v>Sichuan Province</v>
      </c>
      <c r="C2309" s="1" t="s">
        <v>2122</v>
      </c>
      <c r="D2309" s="1" t="str">
        <f>IFERROR(__xludf.DUMMYFUNCTION("GOOGLETRANSLATE(C2309, ""zh-CN"", ""en"")"),"Xinyang City")</f>
        <v>Xinyang City</v>
      </c>
      <c r="E2309" s="1" t="s">
        <v>8</v>
      </c>
      <c r="F2309" s="1" t="str">
        <f>IFERROR(__xludf.DUMMYFUNCTION("GOOGLETRANSLATE(E2309, ""zh-CN"", ""en"")"),"Na")</f>
        <v>Na</v>
      </c>
      <c r="G2309" s="1">
        <v>4.115E11</v>
      </c>
    </row>
    <row r="2310">
      <c r="A2310" s="1" t="s">
        <v>2107</v>
      </c>
      <c r="B2310" s="1" t="str">
        <f>IFERROR(__xludf.DUMMYFUNCTION("GOOGLETRANSLATE(A2236, ""zh-CN"", ""en"")"),"Sichuan Province")</f>
        <v>Sichuan Province</v>
      </c>
      <c r="C2310" s="1" t="s">
        <v>2123</v>
      </c>
      <c r="D2310" s="1" t="str">
        <f>IFERROR(__xludf.DUMMYFUNCTION("GOOGLETRANSLATE(C2310, ""zh-CN"", ""en"")"),"Zhoukou City")</f>
        <v>Zhoukou City</v>
      </c>
      <c r="E2310" s="1" t="s">
        <v>8</v>
      </c>
      <c r="F2310" s="1" t="str">
        <f>IFERROR(__xludf.DUMMYFUNCTION("GOOGLETRANSLATE(E2310, ""zh-CN"", ""en"")"),"Na")</f>
        <v>Na</v>
      </c>
      <c r="G2310" s="1">
        <v>4.116E11</v>
      </c>
    </row>
    <row r="2311">
      <c r="A2311" s="1" t="s">
        <v>2107</v>
      </c>
      <c r="B2311" s="1" t="str">
        <f>IFERROR(__xludf.DUMMYFUNCTION("GOOGLETRANSLATE(A2237, ""zh-CN"", ""en"")"),"Sichuan Province")</f>
        <v>Sichuan Province</v>
      </c>
      <c r="C2311" s="1" t="s">
        <v>2124</v>
      </c>
      <c r="D2311" s="1" t="str">
        <f>IFERROR(__xludf.DUMMYFUNCTION("GOOGLETRANSLATE(C2311, ""zh-CN"", ""en"")"),"Zhumadian City")</f>
        <v>Zhumadian City</v>
      </c>
      <c r="E2311" s="1" t="s">
        <v>8</v>
      </c>
      <c r="F2311" s="1" t="str">
        <f>IFERROR(__xludf.DUMMYFUNCTION("GOOGLETRANSLATE(E2311, ""zh-CN"", ""en"")"),"Na")</f>
        <v>Na</v>
      </c>
      <c r="G2311" s="1">
        <v>4.117E11</v>
      </c>
    </row>
    <row r="2312">
      <c r="A2312" s="1" t="s">
        <v>2107</v>
      </c>
      <c r="B2312" s="1" t="str">
        <f>IFERROR(__xludf.DUMMYFUNCTION("GOOGLETRANSLATE(A2238, ""zh-CN"", ""en"")"),"Sichuan Province")</f>
        <v>Sichuan Province</v>
      </c>
      <c r="C2312" s="1" t="s">
        <v>2125</v>
      </c>
      <c r="D2312" s="1" t="str">
        <f>IFERROR(__xludf.DUMMYFUNCTION("GOOGLETRANSLATE(C2312, ""zh-CN"", ""en"")"),"Provincial and county -level administrative divisions directly under the jurisdiction")</f>
        <v>Provincial and county -level administrative divisions directly under the jurisdiction</v>
      </c>
      <c r="E2312" s="1" t="s">
        <v>8</v>
      </c>
      <c r="F2312" s="1" t="str">
        <f>IFERROR(__xludf.DUMMYFUNCTION("GOOGLETRANSLATE(E2312, ""zh-CN"", ""en"")"),"Na")</f>
        <v>Na</v>
      </c>
      <c r="G2312" s="1">
        <v>4.19E11</v>
      </c>
    </row>
    <row r="2313">
      <c r="A2313" s="1" t="s">
        <v>2107</v>
      </c>
      <c r="B2313" s="1" t="str">
        <f>IFERROR(__xludf.DUMMYFUNCTION("GOOGLETRANSLATE(A2239, ""zh-CN"", ""en"")"),"Sichuan Province")</f>
        <v>Sichuan Province</v>
      </c>
      <c r="C2313" s="1" t="s">
        <v>2108</v>
      </c>
      <c r="D2313" s="1" t="str">
        <f>IFERROR(__xludf.DUMMYFUNCTION("GOOGLETRANSLATE(C2313, ""zh-CN"", ""en"")"),"Zhengzhou City")</f>
        <v>Zhengzhou City</v>
      </c>
      <c r="E2313" s="1" t="s">
        <v>24</v>
      </c>
      <c r="F2313" s="1" t="str">
        <f>IFERROR(__xludf.DUMMYFUNCTION("GOOGLETRANSLATE(E2313, ""zh-CN"", ""en"")"),"City area")</f>
        <v>City area</v>
      </c>
      <c r="G2313" s="1">
        <v>4.10101E11</v>
      </c>
    </row>
    <row r="2314">
      <c r="A2314" s="1" t="s">
        <v>2107</v>
      </c>
      <c r="B2314" s="1" t="str">
        <f>IFERROR(__xludf.DUMMYFUNCTION("GOOGLETRANSLATE(A2240, ""zh-CN"", ""en"")"),"Sichuan Province")</f>
        <v>Sichuan Province</v>
      </c>
      <c r="C2314" s="1" t="s">
        <v>2108</v>
      </c>
      <c r="D2314" s="1" t="str">
        <f>IFERROR(__xludf.DUMMYFUNCTION("GOOGLETRANSLATE(C2314, ""zh-CN"", ""en"")"),"Zhengzhou City")</f>
        <v>Zhengzhou City</v>
      </c>
      <c r="E2314" s="1" t="s">
        <v>2126</v>
      </c>
      <c r="F2314" s="1" t="str">
        <f>IFERROR(__xludf.DUMMYFUNCTION("GOOGLETRANSLATE(E2314, ""zh-CN"", ""en"")"),"Central Plains")</f>
        <v>Central Plains</v>
      </c>
      <c r="G2314" s="1">
        <v>4.10102E11</v>
      </c>
    </row>
    <row r="2315">
      <c r="A2315" s="1" t="s">
        <v>2107</v>
      </c>
      <c r="B2315" s="1" t="str">
        <f>IFERROR(__xludf.DUMMYFUNCTION("GOOGLETRANSLATE(A2241, ""zh-CN"", ""en"")"),"Sichuan Province")</f>
        <v>Sichuan Province</v>
      </c>
      <c r="C2315" s="1" t="s">
        <v>2108</v>
      </c>
      <c r="D2315" s="1" t="str">
        <f>IFERROR(__xludf.DUMMYFUNCTION("GOOGLETRANSLATE(C2315, ""zh-CN"", ""en"")"),"Zhengzhou City")</f>
        <v>Zhengzhou City</v>
      </c>
      <c r="E2315" s="1" t="s">
        <v>2127</v>
      </c>
      <c r="F2315" s="1" t="str">
        <f>IFERROR(__xludf.DUMMYFUNCTION("GOOGLETRANSLATE(E2315, ""zh-CN"", ""en"")"),"Two -seven districts")</f>
        <v>Two -seven districts</v>
      </c>
      <c r="G2315" s="1">
        <v>4.10103E11</v>
      </c>
    </row>
    <row r="2316">
      <c r="A2316" s="1" t="s">
        <v>2107</v>
      </c>
      <c r="B2316" s="1" t="str">
        <f>IFERROR(__xludf.DUMMYFUNCTION("GOOGLETRANSLATE(A2242, ""zh-CN"", ""en"")"),"Sichuan Province")</f>
        <v>Sichuan Province</v>
      </c>
      <c r="C2316" s="1" t="s">
        <v>2108</v>
      </c>
      <c r="D2316" s="1" t="str">
        <f>IFERROR(__xludf.DUMMYFUNCTION("GOOGLETRANSLATE(C2316, ""zh-CN"", ""en"")"),"Zhengzhou City")</f>
        <v>Zhengzhou City</v>
      </c>
      <c r="E2316" s="1" t="s">
        <v>2128</v>
      </c>
      <c r="F2316" s="1" t="str">
        <f>IFERROR(__xludf.DUMMYFUNCTION("GOOGLETRANSLATE(E2316, ""zh-CN"", ""en"")"),"Guancheng Hui District")</f>
        <v>Guancheng Hui District</v>
      </c>
      <c r="G2316" s="1">
        <v>4.10104E11</v>
      </c>
    </row>
    <row r="2317">
      <c r="A2317" s="1" t="s">
        <v>2107</v>
      </c>
      <c r="B2317" s="1" t="str">
        <f>IFERROR(__xludf.DUMMYFUNCTION("GOOGLETRANSLATE(A2243, ""zh-CN"", ""en"")"),"Sichuan Province")</f>
        <v>Sichuan Province</v>
      </c>
      <c r="C2317" s="1" t="s">
        <v>2108</v>
      </c>
      <c r="D2317" s="1" t="str">
        <f>IFERROR(__xludf.DUMMYFUNCTION("GOOGLETRANSLATE(C2317, ""zh-CN"", ""en"")"),"Zhengzhou City")</f>
        <v>Zhengzhou City</v>
      </c>
      <c r="E2317" s="1" t="s">
        <v>2129</v>
      </c>
      <c r="F2317" s="1" t="str">
        <f>IFERROR(__xludf.DUMMYFUNCTION("GOOGLETRANSLATE(E2317, ""zh-CN"", ""en"")"),"Jinshui District")</f>
        <v>Jinshui District</v>
      </c>
      <c r="G2317" s="1">
        <v>4.10105E11</v>
      </c>
    </row>
    <row r="2318">
      <c r="A2318" s="1" t="s">
        <v>2107</v>
      </c>
      <c r="B2318" s="1" t="str">
        <f>IFERROR(__xludf.DUMMYFUNCTION("GOOGLETRANSLATE(A2244, ""zh-CN"", ""en"")"),"Sichuan Province")</f>
        <v>Sichuan Province</v>
      </c>
      <c r="C2318" s="1" t="s">
        <v>2108</v>
      </c>
      <c r="D2318" s="1" t="str">
        <f>IFERROR(__xludf.DUMMYFUNCTION("GOOGLETRANSLATE(C2318, ""zh-CN"", ""en"")"),"Zhengzhou City")</f>
        <v>Zhengzhou City</v>
      </c>
      <c r="E2318" s="1" t="s">
        <v>2130</v>
      </c>
      <c r="F2318" s="1" t="str">
        <f>IFERROR(__xludf.DUMMYFUNCTION("GOOGLETRANSLATE(E2318, ""zh-CN"", ""en"")"),"Upper neighborhood")</f>
        <v>Upper neighborhood</v>
      </c>
      <c r="G2318" s="1">
        <v>4.10106E11</v>
      </c>
    </row>
    <row r="2319">
      <c r="A2319" s="1" t="s">
        <v>2107</v>
      </c>
      <c r="B2319" s="1" t="str">
        <f>IFERROR(__xludf.DUMMYFUNCTION("GOOGLETRANSLATE(A2245, ""zh-CN"", ""en"")"),"Sichuan Province")</f>
        <v>Sichuan Province</v>
      </c>
      <c r="C2319" s="1" t="s">
        <v>2108</v>
      </c>
      <c r="D2319" s="1" t="str">
        <f>IFERROR(__xludf.DUMMYFUNCTION("GOOGLETRANSLATE(C2319, ""zh-CN"", ""en"")"),"Zhengzhou City")</f>
        <v>Zhengzhou City</v>
      </c>
      <c r="E2319" s="1" t="s">
        <v>2131</v>
      </c>
      <c r="F2319" s="1" t="str">
        <f>IFERROR(__xludf.DUMMYFUNCTION("GOOGLETRANSLATE(E2319, ""zh-CN"", ""en"")"),"Huiji District")</f>
        <v>Huiji District</v>
      </c>
      <c r="G2319" s="1">
        <v>4.10108E11</v>
      </c>
    </row>
    <row r="2320">
      <c r="A2320" s="1" t="s">
        <v>2107</v>
      </c>
      <c r="B2320" s="1" t="str">
        <f>IFERROR(__xludf.DUMMYFUNCTION("GOOGLETRANSLATE(A2246, ""zh-CN"", ""en"")"),"Sichuan Province")</f>
        <v>Sichuan Province</v>
      </c>
      <c r="C2320" s="1" t="s">
        <v>2108</v>
      </c>
      <c r="D2320" s="1" t="str">
        <f>IFERROR(__xludf.DUMMYFUNCTION("GOOGLETRANSLATE(C2320, ""zh-CN"", ""en"")"),"Zhengzhou City")</f>
        <v>Zhengzhou City</v>
      </c>
      <c r="E2320" s="1" t="s">
        <v>2132</v>
      </c>
      <c r="F2320" s="1" t="str">
        <f>IFERROR(__xludf.DUMMYFUNCTION("GOOGLETRANSLATE(E2320, ""zh-CN"", ""en"")"),"Zhongmu County")</f>
        <v>Zhongmu County</v>
      </c>
      <c r="G2320" s="1">
        <v>4.10122E11</v>
      </c>
    </row>
    <row r="2321">
      <c r="A2321" s="1" t="s">
        <v>2107</v>
      </c>
      <c r="B2321" s="1" t="str">
        <f>IFERROR(__xludf.DUMMYFUNCTION("GOOGLETRANSLATE(A2247, ""zh-CN"", ""en"")"),"Sichuan Province")</f>
        <v>Sichuan Province</v>
      </c>
      <c r="C2321" s="1" t="s">
        <v>2108</v>
      </c>
      <c r="D2321" s="1" t="str">
        <f>IFERROR(__xludf.DUMMYFUNCTION("GOOGLETRANSLATE(C2321, ""zh-CN"", ""en"")"),"Zhengzhou City")</f>
        <v>Zhengzhou City</v>
      </c>
      <c r="E2321" s="1" t="s">
        <v>2133</v>
      </c>
      <c r="F2321" s="1" t="str">
        <f>IFERROR(__xludf.DUMMYFUNCTION("GOOGLETRANSLATE(E2321, ""zh-CN"", ""en"")"),"Zhengzhou Economic and Technological Development Zone")</f>
        <v>Zhengzhou Economic and Technological Development Zone</v>
      </c>
      <c r="G2321" s="1">
        <v>4.10171E11</v>
      </c>
    </row>
    <row r="2322">
      <c r="A2322" s="1" t="s">
        <v>2107</v>
      </c>
      <c r="B2322" s="1" t="str">
        <f>IFERROR(__xludf.DUMMYFUNCTION("GOOGLETRANSLATE(A2248, ""zh-CN"", ""en"")"),"Sichuan Province")</f>
        <v>Sichuan Province</v>
      </c>
      <c r="C2322" s="1" t="s">
        <v>2108</v>
      </c>
      <c r="D2322" s="1" t="str">
        <f>IFERROR(__xludf.DUMMYFUNCTION("GOOGLETRANSLATE(C2322, ""zh-CN"", ""en"")"),"Zhengzhou City")</f>
        <v>Zhengzhou City</v>
      </c>
      <c r="E2322" s="1" t="s">
        <v>2134</v>
      </c>
      <c r="F2322" s="1" t="str">
        <f>IFERROR(__xludf.DUMMYFUNCTION("GOOGLETRANSLATE(E2322, ""zh-CN"", ""en"")"),"Zhengzhou High -tech Industrial Development Zone")</f>
        <v>Zhengzhou High -tech Industrial Development Zone</v>
      </c>
      <c r="G2322" s="1">
        <v>4.10172E11</v>
      </c>
    </row>
    <row r="2323">
      <c r="A2323" s="1" t="s">
        <v>2107</v>
      </c>
      <c r="B2323" s="1" t="str">
        <f>IFERROR(__xludf.DUMMYFUNCTION("GOOGLETRANSLATE(A2249, ""zh-CN"", ""en"")"),"Sichuan Province")</f>
        <v>Sichuan Province</v>
      </c>
      <c r="C2323" s="1" t="s">
        <v>2108</v>
      </c>
      <c r="D2323" s="1" t="str">
        <f>IFERROR(__xludf.DUMMYFUNCTION("GOOGLETRANSLATE(C2323, ""zh-CN"", ""en"")"),"Zhengzhou City")</f>
        <v>Zhengzhou City</v>
      </c>
      <c r="E2323" s="1" t="s">
        <v>2135</v>
      </c>
      <c r="F2323" s="1" t="str">
        <f>IFERROR(__xludf.DUMMYFUNCTION("GOOGLETRANSLATE(E2323, ""zh-CN"", ""en"")"),"Zhengzhou Airport Economic Comprehensive Experimental Zone")</f>
        <v>Zhengzhou Airport Economic Comprehensive Experimental Zone</v>
      </c>
      <c r="G2323" s="1">
        <v>4.10173E11</v>
      </c>
    </row>
    <row r="2324">
      <c r="A2324" s="1" t="s">
        <v>2107</v>
      </c>
      <c r="B2324" s="1" t="str">
        <f>IFERROR(__xludf.DUMMYFUNCTION("GOOGLETRANSLATE(A2250, ""zh-CN"", ""en"")"),"Sichuan Province")</f>
        <v>Sichuan Province</v>
      </c>
      <c r="C2324" s="1" t="s">
        <v>2108</v>
      </c>
      <c r="D2324" s="1" t="str">
        <f>IFERROR(__xludf.DUMMYFUNCTION("GOOGLETRANSLATE(C2324, ""zh-CN"", ""en"")"),"Zhengzhou City")</f>
        <v>Zhengzhou City</v>
      </c>
      <c r="E2324" s="1" t="s">
        <v>2136</v>
      </c>
      <c r="F2324" s="1" t="str">
        <f>IFERROR(__xludf.DUMMYFUNCTION("GOOGLETRANSLATE(E2324, ""zh-CN"", ""en"")"),"Gongyi City")</f>
        <v>Gongyi City</v>
      </c>
      <c r="G2324" s="1">
        <v>4.10181E11</v>
      </c>
    </row>
    <row r="2325">
      <c r="A2325" s="1" t="s">
        <v>2107</v>
      </c>
      <c r="B2325" s="1" t="str">
        <f>IFERROR(__xludf.DUMMYFUNCTION("GOOGLETRANSLATE(A2251, ""zh-CN"", ""en"")"),"Sichuan Province")</f>
        <v>Sichuan Province</v>
      </c>
      <c r="C2325" s="1" t="s">
        <v>2108</v>
      </c>
      <c r="D2325" s="1" t="str">
        <f>IFERROR(__xludf.DUMMYFUNCTION("GOOGLETRANSLATE(C2325, ""zh-CN"", ""en"")"),"Zhengzhou City")</f>
        <v>Zhengzhou City</v>
      </c>
      <c r="E2325" s="1" t="s">
        <v>2137</v>
      </c>
      <c r="F2325" s="1" t="str">
        <f>IFERROR(__xludf.DUMMYFUNCTION("GOOGLETRANSLATE(E2325, ""zh-CN"", ""en"")"),"Puyang City")</f>
        <v>Puyang City</v>
      </c>
      <c r="G2325" s="1">
        <v>4.10182E11</v>
      </c>
    </row>
    <row r="2326">
      <c r="A2326" s="1" t="s">
        <v>2107</v>
      </c>
      <c r="B2326" s="1" t="str">
        <f>IFERROR(__xludf.DUMMYFUNCTION("GOOGLETRANSLATE(A2252, ""zh-CN"", ""en"")"),"Sichuan Province")</f>
        <v>Sichuan Province</v>
      </c>
      <c r="C2326" s="1" t="s">
        <v>2108</v>
      </c>
      <c r="D2326" s="1" t="str">
        <f>IFERROR(__xludf.DUMMYFUNCTION("GOOGLETRANSLATE(C2326, ""zh-CN"", ""en"")"),"Zhengzhou City")</f>
        <v>Zhengzhou City</v>
      </c>
      <c r="E2326" s="1" t="s">
        <v>2138</v>
      </c>
      <c r="F2326" s="1" t="str">
        <f>IFERROR(__xludf.DUMMYFUNCTION("GOOGLETRANSLATE(E2326, ""zh-CN"", ""en"")"),"Xinmi City")</f>
        <v>Xinmi City</v>
      </c>
      <c r="G2326" s="1">
        <v>4.10183E11</v>
      </c>
    </row>
    <row r="2327">
      <c r="A2327" s="1" t="s">
        <v>2107</v>
      </c>
      <c r="B2327" s="1" t="str">
        <f>IFERROR(__xludf.DUMMYFUNCTION("GOOGLETRANSLATE(A2253, ""zh-CN"", ""en"")"),"Sichuan Province")</f>
        <v>Sichuan Province</v>
      </c>
      <c r="C2327" s="1" t="s">
        <v>2108</v>
      </c>
      <c r="D2327" s="1" t="str">
        <f>IFERROR(__xludf.DUMMYFUNCTION("GOOGLETRANSLATE(C2327, ""zh-CN"", ""en"")"),"Zhengzhou City")</f>
        <v>Zhengzhou City</v>
      </c>
      <c r="E2327" s="1" t="s">
        <v>2139</v>
      </c>
      <c r="F2327" s="1" t="str">
        <f>IFERROR(__xludf.DUMMYFUNCTION("GOOGLETRANSLATE(E2327, ""zh-CN"", ""en"")"),"Xinzheng City")</f>
        <v>Xinzheng City</v>
      </c>
      <c r="G2327" s="1">
        <v>4.10184E11</v>
      </c>
    </row>
    <row r="2328">
      <c r="A2328" s="1" t="s">
        <v>2107</v>
      </c>
      <c r="B2328" s="1" t="str">
        <f>IFERROR(__xludf.DUMMYFUNCTION("GOOGLETRANSLATE(A2254, ""zh-CN"", ""en"")"),"Sichuan Province")</f>
        <v>Sichuan Province</v>
      </c>
      <c r="C2328" s="1" t="s">
        <v>2108</v>
      </c>
      <c r="D2328" s="1" t="str">
        <f>IFERROR(__xludf.DUMMYFUNCTION("GOOGLETRANSLATE(C2328, ""zh-CN"", ""en"")"),"Zhengzhou City")</f>
        <v>Zhengzhou City</v>
      </c>
      <c r="E2328" s="1" t="s">
        <v>2140</v>
      </c>
      <c r="F2328" s="1" t="str">
        <f>IFERROR(__xludf.DUMMYFUNCTION("GOOGLETRANSLATE(E2328, ""zh-CN"", ""en"")"),"Dengfeng City")</f>
        <v>Dengfeng City</v>
      </c>
      <c r="G2328" s="1">
        <v>4.10185E11</v>
      </c>
    </row>
    <row r="2329">
      <c r="A2329" s="1" t="s">
        <v>2107</v>
      </c>
      <c r="B2329" s="1" t="str">
        <f>IFERROR(__xludf.DUMMYFUNCTION("GOOGLETRANSLATE(A2255, ""zh-CN"", ""en"")"),"Sichuan Province")</f>
        <v>Sichuan Province</v>
      </c>
      <c r="C2329" s="1" t="s">
        <v>2109</v>
      </c>
      <c r="D2329" s="1" t="str">
        <f>IFERROR(__xludf.DUMMYFUNCTION("GOOGLETRANSLATE(C2329, ""zh-CN"", ""en"")"),"Kaifeng City")</f>
        <v>Kaifeng City</v>
      </c>
      <c r="E2329" s="1" t="s">
        <v>24</v>
      </c>
      <c r="F2329" s="1" t="str">
        <f>IFERROR(__xludf.DUMMYFUNCTION("GOOGLETRANSLATE(E2329, ""zh-CN"", ""en"")"),"City area")</f>
        <v>City area</v>
      </c>
      <c r="G2329" s="1">
        <v>4.10201E11</v>
      </c>
    </row>
    <row r="2330">
      <c r="A2330" s="1" t="s">
        <v>2107</v>
      </c>
      <c r="B2330" s="1" t="str">
        <f>IFERROR(__xludf.DUMMYFUNCTION("GOOGLETRANSLATE(A2256, ""zh-CN"", ""en"")"),"Sichuan Province")</f>
        <v>Sichuan Province</v>
      </c>
      <c r="C2330" s="1" t="s">
        <v>2109</v>
      </c>
      <c r="D2330" s="1" t="str">
        <f>IFERROR(__xludf.DUMMYFUNCTION("GOOGLETRANSLATE(C2330, ""zh-CN"", ""en"")"),"Kaifeng City")</f>
        <v>Kaifeng City</v>
      </c>
      <c r="E2330" s="1" t="s">
        <v>2141</v>
      </c>
      <c r="F2330" s="1" t="str">
        <f>IFERROR(__xludf.DUMMYFUNCTION("GOOGLETRANSLATE(E2330, ""zh-CN"", ""en"")"),"Longting District")</f>
        <v>Longting District</v>
      </c>
      <c r="G2330" s="1">
        <v>4.10202E11</v>
      </c>
    </row>
    <row r="2331">
      <c r="A2331" s="1" t="s">
        <v>2107</v>
      </c>
      <c r="B2331" s="1" t="str">
        <f>IFERROR(__xludf.DUMMYFUNCTION("GOOGLETRANSLATE(A2257, ""zh-CN"", ""en"")"),"Sichuan Province")</f>
        <v>Sichuan Province</v>
      </c>
      <c r="C2331" s="1" t="s">
        <v>2109</v>
      </c>
      <c r="D2331" s="1" t="str">
        <f>IFERROR(__xludf.DUMMYFUNCTION("GOOGLETRANSLATE(C2331, ""zh-CN"", ""en"")"),"Kaifeng City")</f>
        <v>Kaifeng City</v>
      </c>
      <c r="E2331" s="1" t="s">
        <v>2142</v>
      </c>
      <c r="F2331" s="1" t="str">
        <f>IFERROR(__xludf.DUMMYFUNCTION("GOOGLETRANSLATE(E2331, ""zh-CN"", ""en"")"),"Shunhe Hui District")</f>
        <v>Shunhe Hui District</v>
      </c>
      <c r="G2331" s="1">
        <v>4.10203E11</v>
      </c>
    </row>
    <row r="2332">
      <c r="A2332" s="1" t="s">
        <v>2107</v>
      </c>
      <c r="B2332" s="1" t="str">
        <f>IFERROR(__xludf.DUMMYFUNCTION("GOOGLETRANSLATE(A2258, ""zh-CN"", ""en"")"),"Sichuan Province")</f>
        <v>Sichuan Province</v>
      </c>
      <c r="C2332" s="1" t="s">
        <v>2109</v>
      </c>
      <c r="D2332" s="1" t="str">
        <f>IFERROR(__xludf.DUMMYFUNCTION("GOOGLETRANSLATE(C2332, ""zh-CN"", ""en"")"),"Kaifeng City")</f>
        <v>Kaifeng City</v>
      </c>
      <c r="E2332" s="1" t="s">
        <v>1710</v>
      </c>
      <c r="F2332" s="1" t="str">
        <f>IFERROR(__xludf.DUMMYFUNCTION("GOOGLETRANSLATE(E2332, ""zh-CN"", ""en"")"),"Gulou District")</f>
        <v>Gulou District</v>
      </c>
      <c r="G2332" s="1">
        <v>4.10204E11</v>
      </c>
    </row>
    <row r="2333">
      <c r="A2333" s="1" t="s">
        <v>2107</v>
      </c>
      <c r="B2333" s="1" t="str">
        <f>IFERROR(__xludf.DUMMYFUNCTION("GOOGLETRANSLATE(A2259, ""zh-CN"", ""en"")"),"Sichuan Province")</f>
        <v>Sichuan Province</v>
      </c>
      <c r="C2333" s="1" t="s">
        <v>2109</v>
      </c>
      <c r="D2333" s="1" t="str">
        <f>IFERROR(__xludf.DUMMYFUNCTION("GOOGLETRANSLATE(C2333, ""zh-CN"", ""en"")"),"Kaifeng City")</f>
        <v>Kaifeng City</v>
      </c>
      <c r="E2333" s="1" t="s">
        <v>2143</v>
      </c>
      <c r="F2333" s="1" t="str">
        <f>IFERROR(__xludf.DUMMYFUNCTION("GOOGLETRANSLATE(E2333, ""zh-CN"", ""en"")"),"Yuwangtai District")</f>
        <v>Yuwangtai District</v>
      </c>
      <c r="G2333" s="1">
        <v>4.10205E11</v>
      </c>
    </row>
    <row r="2334">
      <c r="A2334" s="1" t="s">
        <v>2107</v>
      </c>
      <c r="B2334" s="1" t="str">
        <f>IFERROR(__xludf.DUMMYFUNCTION("GOOGLETRANSLATE(A2260, ""zh-CN"", ""en"")"),"Sichuan Province")</f>
        <v>Sichuan Province</v>
      </c>
      <c r="C2334" s="1" t="s">
        <v>2109</v>
      </c>
      <c r="D2334" s="1" t="str">
        <f>IFERROR(__xludf.DUMMYFUNCTION("GOOGLETRANSLATE(C2334, ""zh-CN"", ""en"")"),"Kaifeng City")</f>
        <v>Kaifeng City</v>
      </c>
      <c r="E2334" s="1" t="s">
        <v>2144</v>
      </c>
      <c r="F2334" s="1" t="str">
        <f>IFERROR(__xludf.DUMMYFUNCTION("GOOGLETRANSLATE(E2334, ""zh-CN"", ""en"")"),"Xiangfu District")</f>
        <v>Xiangfu District</v>
      </c>
      <c r="G2334" s="1">
        <v>4.10212E11</v>
      </c>
    </row>
    <row r="2335">
      <c r="A2335" s="1" t="s">
        <v>2107</v>
      </c>
      <c r="B2335" s="1" t="str">
        <f>IFERROR(__xludf.DUMMYFUNCTION("GOOGLETRANSLATE(A2261, ""zh-CN"", ""en"")"),"Sichuan Province")</f>
        <v>Sichuan Province</v>
      </c>
      <c r="C2335" s="1" t="s">
        <v>2109</v>
      </c>
      <c r="D2335" s="1" t="str">
        <f>IFERROR(__xludf.DUMMYFUNCTION("GOOGLETRANSLATE(C2335, ""zh-CN"", ""en"")"),"Kaifeng City")</f>
        <v>Kaifeng City</v>
      </c>
      <c r="E2335" s="1" t="s">
        <v>2145</v>
      </c>
      <c r="F2335" s="1" t="str">
        <f>IFERROR(__xludf.DUMMYFUNCTION("GOOGLETRANSLATE(E2335, ""zh-CN"", ""en"")"),"Qi County")</f>
        <v>Qi County</v>
      </c>
      <c r="G2335" s="1">
        <v>4.10221E11</v>
      </c>
    </row>
    <row r="2336">
      <c r="A2336" s="1" t="s">
        <v>2107</v>
      </c>
      <c r="B2336" s="1" t="str">
        <f>IFERROR(__xludf.DUMMYFUNCTION("GOOGLETRANSLATE(A2262, ""zh-CN"", ""en"")"),"Sichuan Province")</f>
        <v>Sichuan Province</v>
      </c>
      <c r="C2336" s="1" t="s">
        <v>2109</v>
      </c>
      <c r="D2336" s="1" t="str">
        <f>IFERROR(__xludf.DUMMYFUNCTION("GOOGLETRANSLATE(C2336, ""zh-CN"", ""en"")"),"Kaifeng City")</f>
        <v>Kaifeng City</v>
      </c>
      <c r="E2336" s="1" t="s">
        <v>2146</v>
      </c>
      <c r="F2336" s="1" t="str">
        <f>IFERROR(__xludf.DUMMYFUNCTION("GOOGLETRANSLATE(E2336, ""zh-CN"", ""en"")"),"Tongxu County")</f>
        <v>Tongxu County</v>
      </c>
      <c r="G2336" s="1">
        <v>4.10222E11</v>
      </c>
    </row>
    <row r="2337">
      <c r="A2337" s="1" t="s">
        <v>2107</v>
      </c>
      <c r="B2337" s="1" t="str">
        <f>IFERROR(__xludf.DUMMYFUNCTION("GOOGLETRANSLATE(A2263, ""zh-CN"", ""en"")"),"Sichuan Province")</f>
        <v>Sichuan Province</v>
      </c>
      <c r="C2337" s="1" t="s">
        <v>2109</v>
      </c>
      <c r="D2337" s="1" t="str">
        <f>IFERROR(__xludf.DUMMYFUNCTION("GOOGLETRANSLATE(C2337, ""zh-CN"", ""en"")"),"Kaifeng City")</f>
        <v>Kaifeng City</v>
      </c>
      <c r="E2337" s="1" t="s">
        <v>2147</v>
      </c>
      <c r="F2337" s="1" t="str">
        <f>IFERROR(__xludf.DUMMYFUNCTION("GOOGLETRANSLATE(E2337, ""zh-CN"", ""en"")"),"Weishi County")</f>
        <v>Weishi County</v>
      </c>
      <c r="G2337" s="1">
        <v>4.10223E11</v>
      </c>
    </row>
    <row r="2338">
      <c r="A2338" s="1" t="s">
        <v>2107</v>
      </c>
      <c r="B2338" s="1" t="str">
        <f>IFERROR(__xludf.DUMMYFUNCTION("GOOGLETRANSLATE(A2264, ""zh-CN"", ""en"")"),"Sichuan Province")</f>
        <v>Sichuan Province</v>
      </c>
      <c r="C2338" s="1" t="s">
        <v>2109</v>
      </c>
      <c r="D2338" s="1" t="str">
        <f>IFERROR(__xludf.DUMMYFUNCTION("GOOGLETRANSLATE(C2338, ""zh-CN"", ""en"")"),"Kaifeng City")</f>
        <v>Kaifeng City</v>
      </c>
      <c r="E2338" s="1" t="s">
        <v>2148</v>
      </c>
      <c r="F2338" s="1" t="str">
        <f>IFERROR(__xludf.DUMMYFUNCTION("GOOGLETRANSLATE(E2338, ""zh-CN"", ""en"")"),"Lancao County")</f>
        <v>Lancao County</v>
      </c>
      <c r="G2338" s="1">
        <v>4.10225E11</v>
      </c>
    </row>
    <row r="2339">
      <c r="A2339" s="1" t="s">
        <v>2107</v>
      </c>
      <c r="B2339" s="1" t="str">
        <f>IFERROR(__xludf.DUMMYFUNCTION("GOOGLETRANSLATE(A2265, ""zh-CN"", ""en"")"),"Sichuan Province")</f>
        <v>Sichuan Province</v>
      </c>
      <c r="C2339" s="1" t="s">
        <v>2110</v>
      </c>
      <c r="D2339" s="1" t="str">
        <f>IFERROR(__xludf.DUMMYFUNCTION("GOOGLETRANSLATE(C2339, ""zh-CN"", ""en"")"),"Luoyang City")</f>
        <v>Luoyang City</v>
      </c>
      <c r="E2339" s="1" t="s">
        <v>24</v>
      </c>
      <c r="F2339" s="1" t="str">
        <f>IFERROR(__xludf.DUMMYFUNCTION("GOOGLETRANSLATE(E2339, ""zh-CN"", ""en"")"),"City area")</f>
        <v>City area</v>
      </c>
      <c r="G2339" s="1">
        <v>4.10301E11</v>
      </c>
    </row>
    <row r="2340">
      <c r="A2340" s="1" t="s">
        <v>2107</v>
      </c>
      <c r="B2340" s="1" t="str">
        <f>IFERROR(__xludf.DUMMYFUNCTION("GOOGLETRANSLATE(A2266, ""zh-CN"", ""en"")"),"Sichuan Province")</f>
        <v>Sichuan Province</v>
      </c>
      <c r="C2340" s="1" t="s">
        <v>2110</v>
      </c>
      <c r="D2340" s="1" t="str">
        <f>IFERROR(__xludf.DUMMYFUNCTION("GOOGLETRANSLATE(C2340, ""zh-CN"", ""en"")"),"Luoyang City")</f>
        <v>Luoyang City</v>
      </c>
      <c r="E2340" s="1" t="s">
        <v>2149</v>
      </c>
      <c r="F2340" s="1" t="str">
        <f>IFERROR(__xludf.DUMMYFUNCTION("GOOGLETRANSLATE(E2340, ""zh-CN"", ""en"")"),"old Town")</f>
        <v>old Town</v>
      </c>
      <c r="G2340" s="1">
        <v>4.10302E11</v>
      </c>
    </row>
    <row r="2341">
      <c r="A2341" s="1" t="s">
        <v>2107</v>
      </c>
      <c r="B2341" s="1" t="str">
        <f>IFERROR(__xludf.DUMMYFUNCTION("GOOGLETRANSLATE(A2267, ""zh-CN"", ""en"")"),"Sichuan Province")</f>
        <v>Sichuan Province</v>
      </c>
      <c r="C2341" s="1" t="s">
        <v>2110</v>
      </c>
      <c r="D2341" s="1" t="str">
        <f>IFERROR(__xludf.DUMMYFUNCTION("GOOGLETRANSLATE(C2341, ""zh-CN"", ""en"")"),"Luoyang City")</f>
        <v>Luoyang City</v>
      </c>
      <c r="E2341" s="1" t="s">
        <v>2150</v>
      </c>
      <c r="F2341" s="1" t="str">
        <f>IFERROR(__xludf.DUMMYFUNCTION("GOOGLETRANSLATE(E2341, ""zh-CN"", ""en"")"),"Western Gong District")</f>
        <v>Western Gong District</v>
      </c>
      <c r="G2341" s="1">
        <v>4.10303E11</v>
      </c>
    </row>
    <row r="2342">
      <c r="A2342" s="1" t="s">
        <v>2107</v>
      </c>
      <c r="B2342" s="1" t="str">
        <f>IFERROR(__xludf.DUMMYFUNCTION("GOOGLETRANSLATE(A2268, ""zh-CN"", ""en"")"),"Sichuan Province")</f>
        <v>Sichuan Province</v>
      </c>
      <c r="C2342" s="1" t="s">
        <v>2110</v>
      </c>
      <c r="D2342" s="1" t="str">
        <f>IFERROR(__xludf.DUMMYFUNCTION("GOOGLETRANSLATE(C2342, ""zh-CN"", ""en"")"),"Luoyang City")</f>
        <v>Luoyang City</v>
      </c>
      <c r="E2342" s="1" t="s">
        <v>2151</v>
      </c>
      <c r="F2342" s="1" t="str">
        <f>IFERROR(__xludf.DUMMYFUNCTION("GOOGLETRANSLATE(E2342, ""zh-CN"", ""en"")"),"Luohe Hui District")</f>
        <v>Luohe Hui District</v>
      </c>
      <c r="G2342" s="1">
        <v>4.10304E11</v>
      </c>
    </row>
    <row r="2343">
      <c r="A2343" s="1" t="s">
        <v>2107</v>
      </c>
      <c r="B2343" s="1" t="str">
        <f>IFERROR(__xludf.DUMMYFUNCTION("GOOGLETRANSLATE(A2269, ""zh-CN"", ""en"")"),"Sichuan Province")</f>
        <v>Sichuan Province</v>
      </c>
      <c r="C2343" s="1" t="s">
        <v>2110</v>
      </c>
      <c r="D2343" s="1" t="str">
        <f>IFERROR(__xludf.DUMMYFUNCTION("GOOGLETRANSLATE(C2343, ""zh-CN"", ""en"")"),"Luoyang City")</f>
        <v>Luoyang City</v>
      </c>
      <c r="E2343" s="1" t="s">
        <v>2152</v>
      </c>
      <c r="F2343" s="1" t="str">
        <f>IFERROR(__xludf.DUMMYFUNCTION("GOOGLETRANSLATE(E2343, ""zh-CN"", ""en"")"),"Xunxi District")</f>
        <v>Xunxi District</v>
      </c>
      <c r="G2343" s="1">
        <v>4.10305E11</v>
      </c>
    </row>
    <row r="2344">
      <c r="A2344" s="1" t="s">
        <v>2107</v>
      </c>
      <c r="B2344" s="1" t="str">
        <f>IFERROR(__xludf.DUMMYFUNCTION("GOOGLETRANSLATE(A2270, ""zh-CN"", ""en"")"),"Sichuan Province")</f>
        <v>Sichuan Province</v>
      </c>
      <c r="C2344" s="1" t="s">
        <v>2110</v>
      </c>
      <c r="D2344" s="1" t="str">
        <f>IFERROR(__xludf.DUMMYFUNCTION("GOOGLETRANSLATE(C2344, ""zh-CN"", ""en"")"),"Luoyang City")</f>
        <v>Luoyang City</v>
      </c>
      <c r="E2344" s="1" t="s">
        <v>2153</v>
      </c>
      <c r="F2344" s="1" t="str">
        <f>IFERROR(__xludf.DUMMYFUNCTION("GOOGLETRANSLATE(E2344, ""zh-CN"", ""en"")"),"Yanshi District")</f>
        <v>Yanshi District</v>
      </c>
      <c r="G2344" s="1">
        <v>4.10307E11</v>
      </c>
    </row>
    <row r="2345">
      <c r="A2345" s="1" t="s">
        <v>2107</v>
      </c>
      <c r="B2345" s="1" t="str">
        <f>IFERROR(__xludf.DUMMYFUNCTION("GOOGLETRANSLATE(A2271, ""zh-CN"", ""en"")"),"Sichuan Province")</f>
        <v>Sichuan Province</v>
      </c>
      <c r="C2345" s="1" t="s">
        <v>2110</v>
      </c>
      <c r="D2345" s="1" t="str">
        <f>IFERROR(__xludf.DUMMYFUNCTION("GOOGLETRANSLATE(C2345, ""zh-CN"", ""en"")"),"Luoyang City")</f>
        <v>Luoyang City</v>
      </c>
      <c r="E2345" s="1" t="s">
        <v>2154</v>
      </c>
      <c r="F2345" s="1" t="str">
        <f>IFERROR(__xludf.DUMMYFUNCTION("GOOGLETRANSLATE(E2345, ""zh-CN"", ""en"")"),"Mengjin District")</f>
        <v>Mengjin District</v>
      </c>
      <c r="G2345" s="1">
        <v>4.10308E11</v>
      </c>
    </row>
    <row r="2346">
      <c r="A2346" s="1" t="s">
        <v>2107</v>
      </c>
      <c r="B2346" s="1" t="str">
        <f>IFERROR(__xludf.DUMMYFUNCTION("GOOGLETRANSLATE(A2272, ""zh-CN"", ""en"")"),"Sichuan Province")</f>
        <v>Sichuan Province</v>
      </c>
      <c r="C2346" s="1" t="s">
        <v>2110</v>
      </c>
      <c r="D2346" s="1" t="str">
        <f>IFERROR(__xludf.DUMMYFUNCTION("GOOGLETRANSLATE(C2346, ""zh-CN"", ""en"")"),"Luoyang City")</f>
        <v>Luoyang City</v>
      </c>
      <c r="E2346" s="1" t="s">
        <v>2155</v>
      </c>
      <c r="F2346" s="1" t="str">
        <f>IFERROR(__xludf.DUMMYFUNCTION("GOOGLETRANSLATE(E2346, ""zh-CN"", ""en"")"),"Luolong District")</f>
        <v>Luolong District</v>
      </c>
      <c r="G2346" s="1">
        <v>4.10311E11</v>
      </c>
    </row>
    <row r="2347">
      <c r="A2347" s="1" t="s">
        <v>2107</v>
      </c>
      <c r="B2347" s="1" t="str">
        <f>IFERROR(__xludf.DUMMYFUNCTION("GOOGLETRANSLATE(A2273, ""zh-CN"", ""en"")"),"Sichuan Province")</f>
        <v>Sichuan Province</v>
      </c>
      <c r="C2347" s="1" t="s">
        <v>2110</v>
      </c>
      <c r="D2347" s="1" t="str">
        <f>IFERROR(__xludf.DUMMYFUNCTION("GOOGLETRANSLATE(C2347, ""zh-CN"", ""en"")"),"Luoyang City")</f>
        <v>Luoyang City</v>
      </c>
      <c r="E2347" s="1" t="s">
        <v>2156</v>
      </c>
      <c r="F2347" s="1" t="str">
        <f>IFERROR(__xludf.DUMMYFUNCTION("GOOGLETRANSLATE(E2347, ""zh-CN"", ""en"")"),"Xin'an County")</f>
        <v>Xin'an County</v>
      </c>
      <c r="G2347" s="1">
        <v>4.10323E11</v>
      </c>
    </row>
    <row r="2348">
      <c r="A2348" s="1" t="s">
        <v>2107</v>
      </c>
      <c r="B2348" s="1" t="str">
        <f>IFERROR(__xludf.DUMMYFUNCTION("GOOGLETRANSLATE(A2274, ""zh-CN"", ""en"")"),"Sichuan Province")</f>
        <v>Sichuan Province</v>
      </c>
      <c r="C2348" s="1" t="s">
        <v>2110</v>
      </c>
      <c r="D2348" s="1" t="str">
        <f>IFERROR(__xludf.DUMMYFUNCTION("GOOGLETRANSLATE(C2348, ""zh-CN"", ""en"")"),"Luoyang City")</f>
        <v>Luoyang City</v>
      </c>
      <c r="E2348" s="1" t="s">
        <v>2157</v>
      </c>
      <c r="F2348" s="1" t="str">
        <f>IFERROR(__xludf.DUMMYFUNCTION("GOOGLETRANSLATE(E2348, ""zh-CN"", ""en"")"),"Luanchuan County")</f>
        <v>Luanchuan County</v>
      </c>
      <c r="G2348" s="1">
        <v>4.10324E11</v>
      </c>
    </row>
    <row r="2349">
      <c r="A2349" s="1" t="s">
        <v>2107</v>
      </c>
      <c r="B2349" s="1" t="str">
        <f>IFERROR(__xludf.DUMMYFUNCTION("GOOGLETRANSLATE(A2275, ""zh-CN"", ""en"")"),"Sichuan Province")</f>
        <v>Sichuan Province</v>
      </c>
      <c r="C2349" s="1" t="s">
        <v>2110</v>
      </c>
      <c r="D2349" s="1" t="str">
        <f>IFERROR(__xludf.DUMMYFUNCTION("GOOGLETRANSLATE(C2349, ""zh-CN"", ""en"")"),"Luoyang City")</f>
        <v>Luoyang City</v>
      </c>
      <c r="E2349" s="1" t="s">
        <v>2158</v>
      </c>
      <c r="F2349" s="1" t="str">
        <f>IFERROR(__xludf.DUMMYFUNCTION("GOOGLETRANSLATE(E2349, ""zh-CN"", ""en"")"),"Song County")</f>
        <v>Song County</v>
      </c>
      <c r="G2349" s="1">
        <v>4.10325E11</v>
      </c>
    </row>
    <row r="2350">
      <c r="A2350" s="1" t="s">
        <v>2107</v>
      </c>
      <c r="B2350" s="1" t="str">
        <f>IFERROR(__xludf.DUMMYFUNCTION("GOOGLETRANSLATE(A2276, ""zh-CN"", ""en"")"),"Sichuan Province")</f>
        <v>Sichuan Province</v>
      </c>
      <c r="C2350" s="1" t="s">
        <v>2110</v>
      </c>
      <c r="D2350" s="1" t="str">
        <f>IFERROR(__xludf.DUMMYFUNCTION("GOOGLETRANSLATE(C2350, ""zh-CN"", ""en"")"),"Luoyang City")</f>
        <v>Luoyang City</v>
      </c>
      <c r="E2350" s="1" t="s">
        <v>2159</v>
      </c>
      <c r="F2350" s="1" t="str">
        <f>IFERROR(__xludf.DUMMYFUNCTION("GOOGLETRANSLATE(E2350, ""zh-CN"", ""en"")"),"Ruyang County")</f>
        <v>Ruyang County</v>
      </c>
      <c r="G2350" s="1">
        <v>4.10326E11</v>
      </c>
    </row>
    <row r="2351">
      <c r="A2351" s="1" t="s">
        <v>2107</v>
      </c>
      <c r="B2351" s="1" t="str">
        <f>IFERROR(__xludf.DUMMYFUNCTION("GOOGLETRANSLATE(A2277, ""zh-CN"", ""en"")"),"Sichuan Province")</f>
        <v>Sichuan Province</v>
      </c>
      <c r="C2351" s="1" t="s">
        <v>2110</v>
      </c>
      <c r="D2351" s="1" t="str">
        <f>IFERROR(__xludf.DUMMYFUNCTION("GOOGLETRANSLATE(C2351, ""zh-CN"", ""en"")"),"Luoyang City")</f>
        <v>Luoyang City</v>
      </c>
      <c r="E2351" s="1" t="s">
        <v>2160</v>
      </c>
      <c r="F2351" s="1" t="str">
        <f>IFERROR(__xludf.DUMMYFUNCTION("GOOGLETRANSLATE(E2351, ""zh-CN"", ""en"")"),"Yiyang County")</f>
        <v>Yiyang County</v>
      </c>
      <c r="G2351" s="1">
        <v>4.10327E11</v>
      </c>
    </row>
    <row r="2352">
      <c r="A2352" s="1" t="s">
        <v>2107</v>
      </c>
      <c r="B2352" s="1" t="str">
        <f>IFERROR(__xludf.DUMMYFUNCTION("GOOGLETRANSLATE(A2278, ""zh-CN"", ""en"")"),"Sichuan Province")</f>
        <v>Sichuan Province</v>
      </c>
      <c r="C2352" s="1" t="s">
        <v>2110</v>
      </c>
      <c r="D2352" s="1" t="str">
        <f>IFERROR(__xludf.DUMMYFUNCTION("GOOGLETRANSLATE(C2352, ""zh-CN"", ""en"")"),"Luoyang City")</f>
        <v>Luoyang City</v>
      </c>
      <c r="E2352" s="1" t="s">
        <v>2161</v>
      </c>
      <c r="F2352" s="1" t="str">
        <f>IFERROR(__xludf.DUMMYFUNCTION("GOOGLETRANSLATE(E2352, ""zh-CN"", ""en"")"),"Luoning County")</f>
        <v>Luoning County</v>
      </c>
      <c r="G2352" s="1">
        <v>4.10328E11</v>
      </c>
    </row>
    <row r="2353">
      <c r="A2353" s="1" t="s">
        <v>2107</v>
      </c>
      <c r="B2353" s="1" t="str">
        <f>IFERROR(__xludf.DUMMYFUNCTION("GOOGLETRANSLATE(A2279, ""zh-CN"", ""en"")"),"Sichuan Province")</f>
        <v>Sichuan Province</v>
      </c>
      <c r="C2353" s="1" t="s">
        <v>2110</v>
      </c>
      <c r="D2353" s="1" t="str">
        <f>IFERROR(__xludf.DUMMYFUNCTION("GOOGLETRANSLATE(C2353, ""zh-CN"", ""en"")"),"Luoyang City")</f>
        <v>Luoyang City</v>
      </c>
      <c r="E2353" s="1" t="s">
        <v>2162</v>
      </c>
      <c r="F2353" s="1" t="str">
        <f>IFERROR(__xludf.DUMMYFUNCTION("GOOGLETRANSLATE(E2353, ""zh-CN"", ""en"")"),"Yichuan County")</f>
        <v>Yichuan County</v>
      </c>
      <c r="G2353" s="1">
        <v>4.10329E11</v>
      </c>
    </row>
    <row r="2354">
      <c r="A2354" s="1" t="s">
        <v>2107</v>
      </c>
      <c r="B2354" s="1" t="str">
        <f>IFERROR(__xludf.DUMMYFUNCTION("GOOGLETRANSLATE(A2280, ""zh-CN"", ""en"")"),"Sichuan Province")</f>
        <v>Sichuan Province</v>
      </c>
      <c r="C2354" s="1" t="s">
        <v>2110</v>
      </c>
      <c r="D2354" s="1" t="str">
        <f>IFERROR(__xludf.DUMMYFUNCTION("GOOGLETRANSLATE(C2354, ""zh-CN"", ""en"")"),"Luoyang City")</f>
        <v>Luoyang City</v>
      </c>
      <c r="E2354" s="1" t="s">
        <v>2163</v>
      </c>
      <c r="F2354" s="1" t="str">
        <f>IFERROR(__xludf.DUMMYFUNCTION("GOOGLETRANSLATE(E2354, ""zh-CN"", ""en"")"),"Luoyang High -tech Industrial Development Zone")</f>
        <v>Luoyang High -tech Industrial Development Zone</v>
      </c>
      <c r="G2354" s="1">
        <v>4.10371E11</v>
      </c>
    </row>
    <row r="2355">
      <c r="A2355" s="1" t="s">
        <v>2107</v>
      </c>
      <c r="B2355" s="1" t="str">
        <f>IFERROR(__xludf.DUMMYFUNCTION("GOOGLETRANSLATE(A2281, ""zh-CN"", ""en"")"),"Sichuan Province")</f>
        <v>Sichuan Province</v>
      </c>
      <c r="C2355" s="1" t="s">
        <v>2111</v>
      </c>
      <c r="D2355" s="1" t="str">
        <f>IFERROR(__xludf.DUMMYFUNCTION("GOOGLETRANSLATE(C2355, ""zh-CN"", ""en"")"),"Pingdingshan City")</f>
        <v>Pingdingshan City</v>
      </c>
      <c r="E2355" s="1" t="s">
        <v>24</v>
      </c>
      <c r="F2355" s="1" t="str">
        <f>IFERROR(__xludf.DUMMYFUNCTION("GOOGLETRANSLATE(E2355, ""zh-CN"", ""en"")"),"City area")</f>
        <v>City area</v>
      </c>
      <c r="G2355" s="1">
        <v>4.10401E11</v>
      </c>
    </row>
    <row r="2356">
      <c r="A2356" s="1" t="s">
        <v>2107</v>
      </c>
      <c r="B2356" s="1" t="str">
        <f>IFERROR(__xludf.DUMMYFUNCTION("GOOGLETRANSLATE(A2282, ""zh-CN"", ""en"")"),"Sichuan Province")</f>
        <v>Sichuan Province</v>
      </c>
      <c r="C2356" s="1" t="s">
        <v>2111</v>
      </c>
      <c r="D2356" s="1" t="str">
        <f>IFERROR(__xludf.DUMMYFUNCTION("GOOGLETRANSLATE(C2356, ""zh-CN"", ""en"")"),"Pingdingshan City")</f>
        <v>Pingdingshan City</v>
      </c>
      <c r="E2356" s="1" t="s">
        <v>1156</v>
      </c>
      <c r="F2356" s="1" t="str">
        <f>IFERROR(__xludf.DUMMYFUNCTION("GOOGLETRANSLATE(E2356, ""zh-CN"", ""en"")"),"Xinhua District")</f>
        <v>Xinhua District</v>
      </c>
      <c r="G2356" s="1">
        <v>4.10402E11</v>
      </c>
    </row>
    <row r="2357">
      <c r="A2357" s="1" t="s">
        <v>2107</v>
      </c>
      <c r="B2357" s="1" t="str">
        <f>IFERROR(__xludf.DUMMYFUNCTION("GOOGLETRANSLATE(A2283, ""zh-CN"", ""en"")"),"Sichuan Province")</f>
        <v>Sichuan Province</v>
      </c>
      <c r="C2357" s="1" t="s">
        <v>2111</v>
      </c>
      <c r="D2357" s="1" t="str">
        <f>IFERROR(__xludf.DUMMYFUNCTION("GOOGLETRANSLATE(C2357, ""zh-CN"", ""en"")"),"Pingdingshan City")</f>
        <v>Pingdingshan City</v>
      </c>
      <c r="E2357" s="1" t="s">
        <v>2164</v>
      </c>
      <c r="F2357" s="1" t="str">
        <f>IFERROR(__xludf.DUMMYFUNCTION("GOOGLETRANSLATE(E2357, ""zh-CN"", ""en"")"),"Weidong District")</f>
        <v>Weidong District</v>
      </c>
      <c r="G2357" s="1">
        <v>4.10403E11</v>
      </c>
    </row>
    <row r="2358">
      <c r="A2358" s="1" t="s">
        <v>2107</v>
      </c>
      <c r="B2358" s="1" t="str">
        <f>IFERROR(__xludf.DUMMYFUNCTION("GOOGLETRANSLATE(A2284, ""zh-CN"", ""en"")"),"Sichuan Province")</f>
        <v>Sichuan Province</v>
      </c>
      <c r="C2358" s="1" t="s">
        <v>2111</v>
      </c>
      <c r="D2358" s="1" t="str">
        <f>IFERROR(__xludf.DUMMYFUNCTION("GOOGLETRANSLATE(C2358, ""zh-CN"", ""en"")"),"Pingdingshan City")</f>
        <v>Pingdingshan City</v>
      </c>
      <c r="E2358" s="1" t="s">
        <v>2165</v>
      </c>
      <c r="F2358" s="1" t="str">
        <f>IFERROR(__xludf.DUMMYFUNCTION("GOOGLETRANSLATE(E2358, ""zh-CN"", ""en"")"),"Shilong District")</f>
        <v>Shilong District</v>
      </c>
      <c r="G2358" s="1">
        <v>4.10404E11</v>
      </c>
    </row>
    <row r="2359">
      <c r="A2359" s="1" t="s">
        <v>2107</v>
      </c>
      <c r="B2359" s="1" t="str">
        <f>IFERROR(__xludf.DUMMYFUNCTION("GOOGLETRANSLATE(A2285, ""zh-CN"", ""en"")"),"Sichuan Province")</f>
        <v>Sichuan Province</v>
      </c>
      <c r="C2359" s="1" t="s">
        <v>2111</v>
      </c>
      <c r="D2359" s="1" t="str">
        <f>IFERROR(__xludf.DUMMYFUNCTION("GOOGLETRANSLATE(C2359, ""zh-CN"", ""en"")"),"Pingdingshan City")</f>
        <v>Pingdingshan City</v>
      </c>
      <c r="E2359" s="1" t="s">
        <v>2166</v>
      </c>
      <c r="F2359" s="1" t="str">
        <f>IFERROR(__xludf.DUMMYFUNCTION("GOOGLETRANSLATE(E2359, ""zh-CN"", ""en"")"),"Zhanhe District")</f>
        <v>Zhanhe District</v>
      </c>
      <c r="G2359" s="1">
        <v>4.10411E11</v>
      </c>
    </row>
    <row r="2360">
      <c r="A2360" s="1" t="s">
        <v>2107</v>
      </c>
      <c r="B2360" s="1" t="str">
        <f>IFERROR(__xludf.DUMMYFUNCTION("GOOGLETRANSLATE(A2286, ""zh-CN"", ""en"")"),"Sichuan Province")</f>
        <v>Sichuan Province</v>
      </c>
      <c r="C2360" s="1" t="s">
        <v>2111</v>
      </c>
      <c r="D2360" s="1" t="str">
        <f>IFERROR(__xludf.DUMMYFUNCTION("GOOGLETRANSLATE(C2360, ""zh-CN"", ""en"")"),"Pingdingshan City")</f>
        <v>Pingdingshan City</v>
      </c>
      <c r="E2360" s="1" t="s">
        <v>2167</v>
      </c>
      <c r="F2360" s="1" t="str">
        <f>IFERROR(__xludf.DUMMYFUNCTION("GOOGLETRANSLATE(E2360, ""zh-CN"", ""en"")"),"Baofeng County")</f>
        <v>Baofeng County</v>
      </c>
      <c r="G2360" s="1">
        <v>4.10421E11</v>
      </c>
    </row>
    <row r="2361">
      <c r="A2361" s="1" t="s">
        <v>2107</v>
      </c>
      <c r="B2361" s="1" t="str">
        <f>IFERROR(__xludf.DUMMYFUNCTION("GOOGLETRANSLATE(A2287, ""zh-CN"", ""en"")"),"Sichuan Province")</f>
        <v>Sichuan Province</v>
      </c>
      <c r="C2361" s="1" t="s">
        <v>2111</v>
      </c>
      <c r="D2361" s="1" t="str">
        <f>IFERROR(__xludf.DUMMYFUNCTION("GOOGLETRANSLATE(C2361, ""zh-CN"", ""en"")"),"Pingdingshan City")</f>
        <v>Pingdingshan City</v>
      </c>
      <c r="E2361" s="1" t="s">
        <v>2168</v>
      </c>
      <c r="F2361" s="1" t="str">
        <f>IFERROR(__xludf.DUMMYFUNCTION("GOOGLETRANSLATE(E2361, ""zh-CN"", ""en"")"),"Ye County")</f>
        <v>Ye County</v>
      </c>
      <c r="G2361" s="1">
        <v>4.10422E11</v>
      </c>
    </row>
    <row r="2362">
      <c r="A2362" s="1" t="s">
        <v>2107</v>
      </c>
      <c r="B2362" s="1" t="str">
        <f>IFERROR(__xludf.DUMMYFUNCTION("GOOGLETRANSLATE(A2288, ""zh-CN"", ""en"")"),"Sichuan Province")</f>
        <v>Sichuan Province</v>
      </c>
      <c r="C2362" s="1" t="s">
        <v>2111</v>
      </c>
      <c r="D2362" s="1" t="str">
        <f>IFERROR(__xludf.DUMMYFUNCTION("GOOGLETRANSLATE(C2362, ""zh-CN"", ""en"")"),"Pingdingshan City")</f>
        <v>Pingdingshan City</v>
      </c>
      <c r="E2362" s="1" t="s">
        <v>2169</v>
      </c>
      <c r="F2362" s="1" t="str">
        <f>IFERROR(__xludf.DUMMYFUNCTION("GOOGLETRANSLATE(E2362, ""zh-CN"", ""en"")"),"Lushan County")</f>
        <v>Lushan County</v>
      </c>
      <c r="G2362" s="1">
        <v>4.10423E11</v>
      </c>
    </row>
    <row r="2363">
      <c r="A2363" s="1" t="s">
        <v>2107</v>
      </c>
      <c r="B2363" s="1" t="str">
        <f>IFERROR(__xludf.DUMMYFUNCTION("GOOGLETRANSLATE(A2289, ""zh-CN"", ""en"")"),"Sichuan Province")</f>
        <v>Sichuan Province</v>
      </c>
      <c r="C2363" s="1" t="s">
        <v>2111</v>
      </c>
      <c r="D2363" s="1" t="str">
        <f>IFERROR(__xludf.DUMMYFUNCTION("GOOGLETRANSLATE(C2363, ""zh-CN"", ""en"")"),"Pingdingshan City")</f>
        <v>Pingdingshan City</v>
      </c>
      <c r="E2363" s="1" t="s">
        <v>2170</v>
      </c>
      <c r="F2363" s="1" t="str">
        <f>IFERROR(__xludf.DUMMYFUNCTION("GOOGLETRANSLATE(E2363, ""zh-CN"", ""en"")"),"Qixian County")</f>
        <v>Qixian County</v>
      </c>
      <c r="G2363" s="1">
        <v>4.10425E11</v>
      </c>
    </row>
    <row r="2364">
      <c r="A2364" s="1" t="s">
        <v>2107</v>
      </c>
      <c r="B2364" s="1" t="str">
        <f>IFERROR(__xludf.DUMMYFUNCTION("GOOGLETRANSLATE(A2290, ""zh-CN"", ""en"")"),"Sichuan Province")</f>
        <v>Sichuan Province</v>
      </c>
      <c r="C2364" s="1" t="s">
        <v>2111</v>
      </c>
      <c r="D2364" s="1" t="str">
        <f>IFERROR(__xludf.DUMMYFUNCTION("GOOGLETRANSLATE(C2364, ""zh-CN"", ""en"")"),"Pingdingshan City")</f>
        <v>Pingdingshan City</v>
      </c>
      <c r="E2364" s="1" t="s">
        <v>2171</v>
      </c>
      <c r="F2364" s="1" t="str">
        <f>IFERROR(__xludf.DUMMYFUNCTION("GOOGLETRANSLATE(E2364, ""zh-CN"", ""en"")"),"Pingdingshan High -tech Industrial Development Zone")</f>
        <v>Pingdingshan High -tech Industrial Development Zone</v>
      </c>
      <c r="G2364" s="1">
        <v>4.10471E11</v>
      </c>
    </row>
    <row r="2365">
      <c r="A2365" s="1" t="s">
        <v>2107</v>
      </c>
      <c r="B2365" s="1" t="str">
        <f>IFERROR(__xludf.DUMMYFUNCTION("GOOGLETRANSLATE(A2291, ""zh-CN"", ""en"")"),"Sichuan Province")</f>
        <v>Sichuan Province</v>
      </c>
      <c r="C2365" s="1" t="s">
        <v>2111</v>
      </c>
      <c r="D2365" s="1" t="str">
        <f>IFERROR(__xludf.DUMMYFUNCTION("GOOGLETRANSLATE(C2365, ""zh-CN"", ""en"")"),"Pingdingshan City")</f>
        <v>Pingdingshan City</v>
      </c>
      <c r="E2365" s="1" t="s">
        <v>2172</v>
      </c>
      <c r="F2365" s="1" t="str">
        <f>IFERROR(__xludf.DUMMYFUNCTION("GOOGLETRANSLATE(E2365, ""zh-CN"", ""en"")"),"Pingdingshan City Urban and Rural Integrated Demonstration Zone")</f>
        <v>Pingdingshan City Urban and Rural Integrated Demonstration Zone</v>
      </c>
      <c r="G2365" s="1">
        <v>4.10472E11</v>
      </c>
    </row>
    <row r="2366">
      <c r="A2366" s="1" t="s">
        <v>2107</v>
      </c>
      <c r="B2366" s="1" t="str">
        <f>IFERROR(__xludf.DUMMYFUNCTION("GOOGLETRANSLATE(A2292, ""zh-CN"", ""en"")"),"Sichuan Province")</f>
        <v>Sichuan Province</v>
      </c>
      <c r="C2366" s="1" t="s">
        <v>2111</v>
      </c>
      <c r="D2366" s="1" t="str">
        <f>IFERROR(__xludf.DUMMYFUNCTION("GOOGLETRANSLATE(C2366, ""zh-CN"", ""en"")"),"Pingdingshan City")</f>
        <v>Pingdingshan City</v>
      </c>
      <c r="E2366" s="1" t="s">
        <v>2173</v>
      </c>
      <c r="F2366" s="1" t="str">
        <f>IFERROR(__xludf.DUMMYFUNCTION("GOOGLETRANSLATE(E2366, ""zh-CN"", ""en"")"),"Dance steel market")</f>
        <v>Dance steel market</v>
      </c>
      <c r="G2366" s="1">
        <v>4.10481E11</v>
      </c>
    </row>
    <row r="2367">
      <c r="A2367" s="1" t="s">
        <v>2107</v>
      </c>
      <c r="B2367" s="1" t="str">
        <f>IFERROR(__xludf.DUMMYFUNCTION("GOOGLETRANSLATE(A2293, ""zh-CN"", ""en"")"),"Sichuan Province")</f>
        <v>Sichuan Province</v>
      </c>
      <c r="C2367" s="1" t="s">
        <v>2111</v>
      </c>
      <c r="D2367" s="1" t="str">
        <f>IFERROR(__xludf.DUMMYFUNCTION("GOOGLETRANSLATE(C2367, ""zh-CN"", ""en"")"),"Pingdingshan City")</f>
        <v>Pingdingshan City</v>
      </c>
      <c r="E2367" s="1" t="s">
        <v>2174</v>
      </c>
      <c r="F2367" s="1" t="str">
        <f>IFERROR(__xludf.DUMMYFUNCTION("GOOGLETRANSLATE(E2367, ""zh-CN"", ""en"")"),"Ruzhou")</f>
        <v>Ruzhou</v>
      </c>
      <c r="G2367" s="1">
        <v>4.10482E11</v>
      </c>
    </row>
    <row r="2368">
      <c r="A2368" s="1" t="s">
        <v>2107</v>
      </c>
      <c r="B2368" s="1" t="str">
        <f>IFERROR(__xludf.DUMMYFUNCTION("GOOGLETRANSLATE(A2294, ""zh-CN"", ""en"")"),"Henan Province")</f>
        <v>Henan Province</v>
      </c>
      <c r="C2368" s="1" t="s">
        <v>2112</v>
      </c>
      <c r="D2368" s="1" t="str">
        <f>IFERROR(__xludf.DUMMYFUNCTION("GOOGLETRANSLATE(C2368, ""zh-CN"", ""en"")"),"Anyang")</f>
        <v>Anyang</v>
      </c>
      <c r="E2368" s="1" t="s">
        <v>24</v>
      </c>
      <c r="F2368" s="1" t="str">
        <f>IFERROR(__xludf.DUMMYFUNCTION("GOOGLETRANSLATE(E2368, ""zh-CN"", ""en"")"),"City area")</f>
        <v>City area</v>
      </c>
      <c r="G2368" s="1">
        <v>4.10501E11</v>
      </c>
    </row>
    <row r="2369">
      <c r="A2369" s="1" t="s">
        <v>2107</v>
      </c>
      <c r="B2369" s="1" t="str">
        <f>IFERROR(__xludf.DUMMYFUNCTION("GOOGLETRANSLATE(A2295, ""zh-CN"", ""en"")"),"Henan Province")</f>
        <v>Henan Province</v>
      </c>
      <c r="C2369" s="1" t="s">
        <v>2112</v>
      </c>
      <c r="D2369" s="1" t="str">
        <f>IFERROR(__xludf.DUMMYFUNCTION("GOOGLETRANSLATE(C2369, ""zh-CN"", ""en"")"),"Anyang")</f>
        <v>Anyang</v>
      </c>
      <c r="E2369" s="1" t="s">
        <v>2175</v>
      </c>
      <c r="F2369" s="1" t="str">
        <f>IFERROR(__xludf.DUMMYFUNCTION("GOOGLETRANSLATE(E2369, ""zh-CN"", ""en"")"),"Wenfeng District")</f>
        <v>Wenfeng District</v>
      </c>
      <c r="G2369" s="1">
        <v>4.10502E11</v>
      </c>
    </row>
    <row r="2370">
      <c r="A2370" s="1" t="s">
        <v>2107</v>
      </c>
      <c r="B2370" s="1" t="str">
        <f>IFERROR(__xludf.DUMMYFUNCTION("GOOGLETRANSLATE(A2296, ""zh-CN"", ""en"")"),"Henan Province")</f>
        <v>Henan Province</v>
      </c>
      <c r="C2370" s="1" t="s">
        <v>2112</v>
      </c>
      <c r="D2370" s="1" t="str">
        <f>IFERROR(__xludf.DUMMYFUNCTION("GOOGLETRANSLATE(C2370, ""zh-CN"", ""en"")"),"Anyang")</f>
        <v>Anyang</v>
      </c>
      <c r="E2370" s="1" t="s">
        <v>2176</v>
      </c>
      <c r="F2370" s="1" t="str">
        <f>IFERROR(__xludf.DUMMYFUNCTION("GOOGLETRANSLATE(E2370, ""zh-CN"", ""en"")"),"Beiguan District")</f>
        <v>Beiguan District</v>
      </c>
      <c r="G2370" s="1">
        <v>4.10503E11</v>
      </c>
    </row>
    <row r="2371">
      <c r="A2371" s="1" t="s">
        <v>2107</v>
      </c>
      <c r="B2371" s="1" t="str">
        <f>IFERROR(__xludf.DUMMYFUNCTION("GOOGLETRANSLATE(A2297, ""zh-CN"", ""en"")"),"Henan Province")</f>
        <v>Henan Province</v>
      </c>
      <c r="C2371" s="1" t="s">
        <v>2112</v>
      </c>
      <c r="D2371" s="1" t="str">
        <f>IFERROR(__xludf.DUMMYFUNCTION("GOOGLETRANSLATE(C2371, ""zh-CN"", ""en"")"),"Anyang")</f>
        <v>Anyang</v>
      </c>
      <c r="E2371" s="1" t="s">
        <v>2177</v>
      </c>
      <c r="F2371" s="1" t="str">
        <f>IFERROR(__xludf.DUMMYFUNCTION("GOOGLETRANSLATE(E2371, ""zh-CN"", ""en"")"),"Yindu District")</f>
        <v>Yindu District</v>
      </c>
      <c r="G2371" s="1">
        <v>4.10505E11</v>
      </c>
    </row>
    <row r="2372">
      <c r="A2372" s="1" t="s">
        <v>2107</v>
      </c>
      <c r="B2372" s="1" t="str">
        <f>IFERROR(__xludf.DUMMYFUNCTION("GOOGLETRANSLATE(A2298, ""zh-CN"", ""en"")"),"Henan Province")</f>
        <v>Henan Province</v>
      </c>
      <c r="C2372" s="1" t="s">
        <v>2112</v>
      </c>
      <c r="D2372" s="1" t="str">
        <f>IFERROR(__xludf.DUMMYFUNCTION("GOOGLETRANSLATE(C2372, ""zh-CN"", ""en"")"),"Anyang")</f>
        <v>Anyang</v>
      </c>
      <c r="E2372" s="1" t="s">
        <v>2178</v>
      </c>
      <c r="F2372" s="1" t="str">
        <f>IFERROR(__xludf.DUMMYFUNCTION("GOOGLETRANSLATE(E2372, ""zh-CN"", ""en"")"),"Longan District")</f>
        <v>Longan District</v>
      </c>
      <c r="G2372" s="1">
        <v>4.10506E11</v>
      </c>
    </row>
    <row r="2373">
      <c r="A2373" s="1" t="s">
        <v>2107</v>
      </c>
      <c r="B2373" s="1" t="str">
        <f>IFERROR(__xludf.DUMMYFUNCTION("GOOGLETRANSLATE(A2299, ""zh-CN"", ""en"")"),"Henan Province")</f>
        <v>Henan Province</v>
      </c>
      <c r="C2373" s="1" t="s">
        <v>2112</v>
      </c>
      <c r="D2373" s="1" t="str">
        <f>IFERROR(__xludf.DUMMYFUNCTION("GOOGLETRANSLATE(C2373, ""zh-CN"", ""en"")"),"Anyang")</f>
        <v>Anyang</v>
      </c>
      <c r="E2373" s="1" t="s">
        <v>2179</v>
      </c>
      <c r="F2373" s="1" t="str">
        <f>IFERROR(__xludf.DUMMYFUNCTION("GOOGLETRANSLATE(E2373, ""zh-CN"", ""en"")"),"Anyang County")</f>
        <v>Anyang County</v>
      </c>
      <c r="G2373" s="1">
        <v>4.10522E11</v>
      </c>
    </row>
    <row r="2374">
      <c r="A2374" s="1" t="s">
        <v>2107</v>
      </c>
      <c r="B2374" s="1" t="str">
        <f>IFERROR(__xludf.DUMMYFUNCTION("GOOGLETRANSLATE(A2300, ""zh-CN"", ""en"")"),"Henan Province")</f>
        <v>Henan Province</v>
      </c>
      <c r="C2374" s="1" t="s">
        <v>2112</v>
      </c>
      <c r="D2374" s="1" t="str">
        <f>IFERROR(__xludf.DUMMYFUNCTION("GOOGLETRANSLATE(C2374, ""zh-CN"", ""en"")"),"Anyang")</f>
        <v>Anyang</v>
      </c>
      <c r="E2374" s="1" t="s">
        <v>2180</v>
      </c>
      <c r="F2374" s="1" t="str">
        <f>IFERROR(__xludf.DUMMYFUNCTION("GOOGLETRANSLATE(E2374, ""zh-CN"", ""en"")"),"Tangyin County")</f>
        <v>Tangyin County</v>
      </c>
      <c r="G2374" s="1">
        <v>4.10523E11</v>
      </c>
    </row>
    <row r="2375">
      <c r="A2375" s="1" t="s">
        <v>2107</v>
      </c>
      <c r="B2375" s="1" t="str">
        <f>IFERROR(__xludf.DUMMYFUNCTION("GOOGLETRANSLATE(A2301, ""zh-CN"", ""en"")"),"Henan Province")</f>
        <v>Henan Province</v>
      </c>
      <c r="C2375" s="1" t="s">
        <v>2112</v>
      </c>
      <c r="D2375" s="1" t="str">
        <f>IFERROR(__xludf.DUMMYFUNCTION("GOOGLETRANSLATE(C2375, ""zh-CN"", ""en"")"),"Anyang")</f>
        <v>Anyang</v>
      </c>
      <c r="E2375" s="1" t="s">
        <v>2181</v>
      </c>
      <c r="F2375" s="1" t="str">
        <f>IFERROR(__xludf.DUMMYFUNCTION("GOOGLETRANSLATE(E2375, ""zh-CN"", ""en"")"),"Slippery county")</f>
        <v>Slippery county</v>
      </c>
      <c r="G2375" s="1">
        <v>4.10526E11</v>
      </c>
    </row>
    <row r="2376">
      <c r="A2376" s="1" t="s">
        <v>2107</v>
      </c>
      <c r="B2376" s="1" t="str">
        <f>IFERROR(__xludf.DUMMYFUNCTION("GOOGLETRANSLATE(A2302, ""zh-CN"", ""en"")"),"Henan Province")</f>
        <v>Henan Province</v>
      </c>
      <c r="C2376" s="1" t="s">
        <v>2112</v>
      </c>
      <c r="D2376" s="1" t="str">
        <f>IFERROR(__xludf.DUMMYFUNCTION("GOOGLETRANSLATE(C2376, ""zh-CN"", ""en"")"),"Anyang")</f>
        <v>Anyang</v>
      </c>
      <c r="E2376" s="1" t="s">
        <v>2182</v>
      </c>
      <c r="F2376" s="1" t="str">
        <f>IFERROR(__xludf.DUMMYFUNCTION("GOOGLETRANSLATE(E2376, ""zh-CN"", ""en"")"),"Neihuang County")</f>
        <v>Neihuang County</v>
      </c>
      <c r="G2376" s="1">
        <v>4.10527E11</v>
      </c>
    </row>
    <row r="2377">
      <c r="A2377" s="1" t="s">
        <v>2107</v>
      </c>
      <c r="B2377" s="1" t="str">
        <f>IFERROR(__xludf.DUMMYFUNCTION("GOOGLETRANSLATE(A2303, ""zh-CN"", ""en"")"),"Henan Province")</f>
        <v>Henan Province</v>
      </c>
      <c r="C2377" s="1" t="s">
        <v>2112</v>
      </c>
      <c r="D2377" s="1" t="str">
        <f>IFERROR(__xludf.DUMMYFUNCTION("GOOGLETRANSLATE(C2377, ""zh-CN"", ""en"")"),"Anyang")</f>
        <v>Anyang</v>
      </c>
      <c r="E2377" s="1" t="s">
        <v>2183</v>
      </c>
      <c r="F2377" s="1" t="str">
        <f>IFERROR(__xludf.DUMMYFUNCTION("GOOGLETRANSLATE(E2377, ""zh-CN"", ""en"")"),"Anyang High -tech Industrial Development Zone")</f>
        <v>Anyang High -tech Industrial Development Zone</v>
      </c>
      <c r="G2377" s="1">
        <v>4.10571E11</v>
      </c>
    </row>
    <row r="2378">
      <c r="A2378" s="1" t="s">
        <v>2107</v>
      </c>
      <c r="B2378" s="1" t="str">
        <f>IFERROR(__xludf.DUMMYFUNCTION("GOOGLETRANSLATE(A2304, ""zh-CN"", ""en"")"),"Henan Province")</f>
        <v>Henan Province</v>
      </c>
      <c r="C2378" s="1" t="s">
        <v>2112</v>
      </c>
      <c r="D2378" s="1" t="str">
        <f>IFERROR(__xludf.DUMMYFUNCTION("GOOGLETRANSLATE(C2378, ""zh-CN"", ""en"")"),"Anyang")</f>
        <v>Anyang</v>
      </c>
      <c r="E2378" s="1" t="s">
        <v>2184</v>
      </c>
      <c r="F2378" s="1" t="str">
        <f>IFERROR(__xludf.DUMMYFUNCTION("GOOGLETRANSLATE(E2378, ""zh-CN"", ""en"")"),"Linzhou")</f>
        <v>Linzhou</v>
      </c>
      <c r="G2378" s="1">
        <v>4.10581E11</v>
      </c>
    </row>
    <row r="2379">
      <c r="A2379" s="1" t="s">
        <v>2107</v>
      </c>
      <c r="B2379" s="1" t="str">
        <f>IFERROR(__xludf.DUMMYFUNCTION("GOOGLETRANSLATE(A2305, ""zh-CN"", ""en"")"),"Henan Province")</f>
        <v>Henan Province</v>
      </c>
      <c r="C2379" s="1" t="s">
        <v>2113</v>
      </c>
      <c r="D2379" s="1" t="str">
        <f>IFERROR(__xludf.DUMMYFUNCTION("GOOGLETRANSLATE(C2379, ""zh-CN"", ""en"")"),"Hebi City")</f>
        <v>Hebi City</v>
      </c>
      <c r="E2379" s="1" t="s">
        <v>24</v>
      </c>
      <c r="F2379" s="1" t="str">
        <f>IFERROR(__xludf.DUMMYFUNCTION("GOOGLETRANSLATE(E2379, ""zh-CN"", ""en"")"),"City area")</f>
        <v>City area</v>
      </c>
      <c r="G2379" s="1">
        <v>4.10601E11</v>
      </c>
    </row>
    <row r="2380">
      <c r="A2380" s="1" t="s">
        <v>2107</v>
      </c>
      <c r="B2380" s="1" t="str">
        <f>IFERROR(__xludf.DUMMYFUNCTION("GOOGLETRANSLATE(A2306, ""zh-CN"", ""en"")"),"Henan Province")</f>
        <v>Henan Province</v>
      </c>
      <c r="C2380" s="1" t="s">
        <v>2113</v>
      </c>
      <c r="D2380" s="1" t="str">
        <f>IFERROR(__xludf.DUMMYFUNCTION("GOOGLETRANSLATE(C2380, ""zh-CN"", ""en"")"),"Hebi City")</f>
        <v>Hebi City</v>
      </c>
      <c r="E2380" s="1" t="s">
        <v>2185</v>
      </c>
      <c r="F2380" s="1" t="str">
        <f>IFERROR(__xludf.DUMMYFUNCTION("GOOGLETRANSLATE(E2380, ""zh-CN"", ""en"")"),"Heshan District")</f>
        <v>Heshan District</v>
      </c>
      <c r="G2380" s="1">
        <v>4.10602E11</v>
      </c>
    </row>
    <row r="2381">
      <c r="A2381" s="1" t="s">
        <v>2107</v>
      </c>
      <c r="B2381" s="1" t="str">
        <f>IFERROR(__xludf.DUMMYFUNCTION("GOOGLETRANSLATE(A2307, ""zh-CN"", ""en"")"),"Henan Province")</f>
        <v>Henan Province</v>
      </c>
      <c r="C2381" s="1" t="s">
        <v>2113</v>
      </c>
      <c r="D2381" s="1" t="str">
        <f>IFERROR(__xludf.DUMMYFUNCTION("GOOGLETRANSLATE(C2381, ""zh-CN"", ""en"")"),"Hebi City")</f>
        <v>Hebi City</v>
      </c>
      <c r="E2381" s="1" t="s">
        <v>2186</v>
      </c>
      <c r="F2381" s="1" t="str">
        <f>IFERROR(__xludf.DUMMYFUNCTION("GOOGLETRANSLATE(E2381, ""zh-CN"", ""en"")"),"Mountainous area")</f>
        <v>Mountainous area</v>
      </c>
      <c r="G2381" s="1">
        <v>4.10603E11</v>
      </c>
    </row>
    <row r="2382">
      <c r="A2382" s="1" t="s">
        <v>2107</v>
      </c>
      <c r="B2382" s="1" t="str">
        <f>IFERROR(__xludf.DUMMYFUNCTION("GOOGLETRANSLATE(A2308, ""zh-CN"", ""en"")"),"Henan Province")</f>
        <v>Henan Province</v>
      </c>
      <c r="C2382" s="1" t="s">
        <v>2113</v>
      </c>
      <c r="D2382" s="1" t="str">
        <f>IFERROR(__xludf.DUMMYFUNCTION("GOOGLETRANSLATE(C2382, ""zh-CN"", ""en"")"),"Hebi City")</f>
        <v>Hebi City</v>
      </c>
      <c r="E2382" s="1" t="s">
        <v>2187</v>
      </c>
      <c r="F2382" s="1" t="str">
        <f>IFERROR(__xludf.DUMMYFUNCTION("GOOGLETRANSLATE(E2382, ""zh-CN"", ""en"")"),"Qibin District")</f>
        <v>Qibin District</v>
      </c>
      <c r="G2382" s="1">
        <v>4.10611E11</v>
      </c>
    </row>
    <row r="2383">
      <c r="A2383" s="1" t="s">
        <v>2107</v>
      </c>
      <c r="B2383" s="1" t="str">
        <f>IFERROR(__xludf.DUMMYFUNCTION("GOOGLETRANSLATE(A2309, ""zh-CN"", ""en"")"),"Henan Province")</f>
        <v>Henan Province</v>
      </c>
      <c r="C2383" s="1" t="s">
        <v>2113</v>
      </c>
      <c r="D2383" s="1" t="str">
        <f>IFERROR(__xludf.DUMMYFUNCTION("GOOGLETRANSLATE(C2383, ""zh-CN"", ""en"")"),"Hebi City")</f>
        <v>Hebi City</v>
      </c>
      <c r="E2383" s="1" t="s">
        <v>2188</v>
      </c>
      <c r="F2383" s="1" t="str">
        <f>IFERROR(__xludf.DUMMYFUNCTION("GOOGLETRANSLATE(E2383, ""zh-CN"", ""en"")"),"Junxian")</f>
        <v>Junxian</v>
      </c>
      <c r="G2383" s="1">
        <v>4.10621E11</v>
      </c>
    </row>
    <row r="2384">
      <c r="A2384" s="1" t="s">
        <v>2107</v>
      </c>
      <c r="B2384" s="1" t="str">
        <f>IFERROR(__xludf.DUMMYFUNCTION("GOOGLETRANSLATE(A2310, ""zh-CN"", ""en"")"),"Henan Province")</f>
        <v>Henan Province</v>
      </c>
      <c r="C2384" s="1" t="s">
        <v>2113</v>
      </c>
      <c r="D2384" s="1" t="str">
        <f>IFERROR(__xludf.DUMMYFUNCTION("GOOGLETRANSLATE(C2384, ""zh-CN"", ""en"")"),"Hebi City")</f>
        <v>Hebi City</v>
      </c>
      <c r="E2384" s="1" t="s">
        <v>2189</v>
      </c>
      <c r="F2384" s="1" t="str">
        <f>IFERROR(__xludf.DUMMYFUNCTION("GOOGLETRANSLATE(E2384, ""zh-CN"", ""en"")"),"Qi County")</f>
        <v>Qi County</v>
      </c>
      <c r="G2384" s="1">
        <v>4.10622E11</v>
      </c>
    </row>
    <row r="2385">
      <c r="A2385" s="1" t="s">
        <v>2107</v>
      </c>
      <c r="B2385" s="1" t="str">
        <f>IFERROR(__xludf.DUMMYFUNCTION("GOOGLETRANSLATE(A2311, ""zh-CN"", ""en"")"),"Henan Province")</f>
        <v>Henan Province</v>
      </c>
      <c r="C2385" s="1" t="s">
        <v>2113</v>
      </c>
      <c r="D2385" s="1" t="str">
        <f>IFERROR(__xludf.DUMMYFUNCTION("GOOGLETRANSLATE(C2385, ""zh-CN"", ""en"")"),"Hebi City")</f>
        <v>Hebi City</v>
      </c>
      <c r="E2385" s="1" t="s">
        <v>2190</v>
      </c>
      <c r="F2385" s="1" t="str">
        <f>IFERROR(__xludf.DUMMYFUNCTION("GOOGLETRANSLATE(E2385, ""zh-CN"", ""en"")"),"Hebi Economic and Technological Development Zone")</f>
        <v>Hebi Economic and Technological Development Zone</v>
      </c>
      <c r="G2385" s="1">
        <v>4.10671E11</v>
      </c>
    </row>
    <row r="2386">
      <c r="A2386" s="1" t="s">
        <v>2107</v>
      </c>
      <c r="B2386" s="1" t="str">
        <f>IFERROR(__xludf.DUMMYFUNCTION("GOOGLETRANSLATE(A2312, ""zh-CN"", ""en"")"),"Henan Province")</f>
        <v>Henan Province</v>
      </c>
      <c r="C2386" s="1" t="s">
        <v>2114</v>
      </c>
      <c r="D2386" s="1" t="str">
        <f>IFERROR(__xludf.DUMMYFUNCTION("GOOGLETRANSLATE(C2386, ""zh-CN"", ""en"")"),"Xinxiang City")</f>
        <v>Xinxiang City</v>
      </c>
      <c r="E2386" s="1" t="s">
        <v>24</v>
      </c>
      <c r="F2386" s="1" t="str">
        <f>IFERROR(__xludf.DUMMYFUNCTION("GOOGLETRANSLATE(E2386, ""zh-CN"", ""en"")"),"City area")</f>
        <v>City area</v>
      </c>
      <c r="G2386" s="1">
        <v>4.10701E11</v>
      </c>
    </row>
    <row r="2387">
      <c r="A2387" s="1" t="s">
        <v>2107</v>
      </c>
      <c r="B2387" s="1" t="str">
        <f>IFERROR(__xludf.DUMMYFUNCTION("GOOGLETRANSLATE(A2313, ""zh-CN"", ""en"")"),"Henan Province")</f>
        <v>Henan Province</v>
      </c>
      <c r="C2387" s="1" t="s">
        <v>2114</v>
      </c>
      <c r="D2387" s="1" t="str">
        <f>IFERROR(__xludf.DUMMYFUNCTION("GOOGLETRANSLATE(C2387, ""zh-CN"", ""en"")"),"Xinxiang City")</f>
        <v>Xinxiang City</v>
      </c>
      <c r="E2387" s="1" t="s">
        <v>2191</v>
      </c>
      <c r="F2387" s="1" t="str">
        <f>IFERROR(__xludf.DUMMYFUNCTION("GOOGLETRANSLATE(E2387, ""zh-CN"", ""en"")"),"Red flag area")</f>
        <v>Red flag area</v>
      </c>
      <c r="G2387" s="1">
        <v>4.10702E11</v>
      </c>
    </row>
    <row r="2388">
      <c r="A2388" s="1" t="s">
        <v>2107</v>
      </c>
      <c r="B2388" s="1" t="str">
        <f>IFERROR(__xludf.DUMMYFUNCTION("GOOGLETRANSLATE(A2314, ""zh-CN"", ""en"")"),"Henan Province")</f>
        <v>Henan Province</v>
      </c>
      <c r="C2388" s="1" t="s">
        <v>2114</v>
      </c>
      <c r="D2388" s="1" t="str">
        <f>IFERROR(__xludf.DUMMYFUNCTION("GOOGLETRANSLATE(C2388, ""zh-CN"", ""en"")"),"Xinxiang City")</f>
        <v>Xinxiang City</v>
      </c>
      <c r="E2388" s="1" t="s">
        <v>2192</v>
      </c>
      <c r="F2388" s="1" t="str">
        <f>IFERROR(__xludf.DUMMYFUNCTION("GOOGLETRANSLATE(E2388, ""zh-CN"", ""en"")"),"Wei Bin District")</f>
        <v>Wei Bin District</v>
      </c>
      <c r="G2388" s="1">
        <v>4.10703E11</v>
      </c>
    </row>
    <row r="2389">
      <c r="A2389" s="1" t="s">
        <v>2107</v>
      </c>
      <c r="B2389" s="1" t="str">
        <f>IFERROR(__xludf.DUMMYFUNCTION("GOOGLETRANSLATE(A2315, ""zh-CN"", ""en"")"),"Henan Province")</f>
        <v>Henan Province</v>
      </c>
      <c r="C2389" s="1" t="s">
        <v>2114</v>
      </c>
      <c r="D2389" s="1" t="str">
        <f>IFERROR(__xludf.DUMMYFUNCTION("GOOGLETRANSLATE(C2389, ""zh-CN"", ""en"")"),"Xinxiang City")</f>
        <v>Xinxiang City</v>
      </c>
      <c r="E2389" s="1" t="s">
        <v>2193</v>
      </c>
      <c r="F2389" s="1" t="str">
        <f>IFERROR(__xludf.DUMMYFUNCTION("GOOGLETRANSLATE(E2389, ""zh-CN"", ""en"")"),"Fengquan District")</f>
        <v>Fengquan District</v>
      </c>
      <c r="G2389" s="1">
        <v>4.10704E11</v>
      </c>
    </row>
    <row r="2390">
      <c r="A2390" s="1" t="s">
        <v>2107</v>
      </c>
      <c r="B2390" s="1" t="str">
        <f>IFERROR(__xludf.DUMMYFUNCTION("GOOGLETRANSLATE(A2316, ""zh-CN"", ""en"")"),"Henan Province")</f>
        <v>Henan Province</v>
      </c>
      <c r="C2390" s="1" t="s">
        <v>2114</v>
      </c>
      <c r="D2390" s="1" t="str">
        <f>IFERROR(__xludf.DUMMYFUNCTION("GOOGLETRANSLATE(C2390, ""zh-CN"", ""en"")"),"Xinxiang City")</f>
        <v>Xinxiang City</v>
      </c>
      <c r="E2390" s="1" t="s">
        <v>2194</v>
      </c>
      <c r="F2390" s="1" t="str">
        <f>IFERROR(__xludf.DUMMYFUNCTION("GOOGLETRANSLATE(E2390, ""zh-CN"", ""en"")"),"Makino District")</f>
        <v>Makino District</v>
      </c>
      <c r="G2390" s="1">
        <v>4.10711E11</v>
      </c>
    </row>
    <row r="2391">
      <c r="A2391" s="1" t="s">
        <v>2107</v>
      </c>
      <c r="B2391" s="1" t="str">
        <f>IFERROR(__xludf.DUMMYFUNCTION("GOOGLETRANSLATE(A2317, ""zh-CN"", ""en"")"),"Henan Province")</f>
        <v>Henan Province</v>
      </c>
      <c r="C2391" s="1" t="s">
        <v>2114</v>
      </c>
      <c r="D2391" s="1" t="str">
        <f>IFERROR(__xludf.DUMMYFUNCTION("GOOGLETRANSLATE(C2391, ""zh-CN"", ""en"")"),"Xinxiang City")</f>
        <v>Xinxiang City</v>
      </c>
      <c r="E2391" s="1" t="s">
        <v>2195</v>
      </c>
      <c r="F2391" s="1" t="str">
        <f>IFERROR(__xludf.DUMMYFUNCTION("GOOGLETRANSLATE(E2391, ""zh-CN"", ""en"")"),"Xinxiang County")</f>
        <v>Xinxiang County</v>
      </c>
      <c r="G2391" s="1">
        <v>4.10721E11</v>
      </c>
    </row>
    <row r="2392">
      <c r="A2392" s="1" t="s">
        <v>2107</v>
      </c>
      <c r="B2392" s="1" t="str">
        <f>IFERROR(__xludf.DUMMYFUNCTION("GOOGLETRANSLATE(A2318, ""zh-CN"", ""en"")"),"Henan Province")</f>
        <v>Henan Province</v>
      </c>
      <c r="C2392" s="1" t="s">
        <v>2114</v>
      </c>
      <c r="D2392" s="1" t="str">
        <f>IFERROR(__xludf.DUMMYFUNCTION("GOOGLETRANSLATE(C2392, ""zh-CN"", ""en"")"),"Xinxiang City")</f>
        <v>Xinxiang City</v>
      </c>
      <c r="E2392" s="1" t="s">
        <v>2196</v>
      </c>
      <c r="F2392" s="1" t="str">
        <f>IFERROR(__xludf.DUMMYFUNCTION("GOOGLETRANSLATE(E2392, ""zh-CN"", ""en"")"),"Gongjia County")</f>
        <v>Gongjia County</v>
      </c>
      <c r="G2392" s="1">
        <v>4.10724E11</v>
      </c>
    </row>
    <row r="2393">
      <c r="A2393" s="1" t="s">
        <v>2107</v>
      </c>
      <c r="B2393" s="1" t="str">
        <f>IFERROR(__xludf.DUMMYFUNCTION("GOOGLETRANSLATE(A2319, ""zh-CN"", ""en"")"),"Henan Province")</f>
        <v>Henan Province</v>
      </c>
      <c r="C2393" s="1" t="s">
        <v>2114</v>
      </c>
      <c r="D2393" s="1" t="str">
        <f>IFERROR(__xludf.DUMMYFUNCTION("GOOGLETRANSLATE(C2393, ""zh-CN"", ""en"")"),"Xinxiang City")</f>
        <v>Xinxiang City</v>
      </c>
      <c r="E2393" s="1" t="s">
        <v>2197</v>
      </c>
      <c r="F2393" s="1" t="str">
        <f>IFERROR(__xludf.DUMMYFUNCTION("GOOGLETRANSLATE(E2393, ""zh-CN"", ""en"")"),"Yuanyang County")</f>
        <v>Yuanyang County</v>
      </c>
      <c r="G2393" s="1">
        <v>4.10725E11</v>
      </c>
    </row>
    <row r="2394">
      <c r="A2394" s="1" t="s">
        <v>2107</v>
      </c>
      <c r="B2394" s="1" t="str">
        <f>IFERROR(__xludf.DUMMYFUNCTION("GOOGLETRANSLATE(A2320, ""zh-CN"", ""en"")"),"Henan Province")</f>
        <v>Henan Province</v>
      </c>
      <c r="C2394" s="1" t="s">
        <v>2114</v>
      </c>
      <c r="D2394" s="1" t="str">
        <f>IFERROR(__xludf.DUMMYFUNCTION("GOOGLETRANSLATE(C2394, ""zh-CN"", ""en"")"),"Xinxiang City")</f>
        <v>Xinxiang City</v>
      </c>
      <c r="E2394" s="1" t="s">
        <v>2198</v>
      </c>
      <c r="F2394" s="1" t="str">
        <f>IFERROR(__xludf.DUMMYFUNCTION("GOOGLETRANSLATE(E2394, ""zh-CN"", ""en"")"),"Yanjin County")</f>
        <v>Yanjin County</v>
      </c>
      <c r="G2394" s="1">
        <v>4.10726E11</v>
      </c>
    </row>
    <row r="2395">
      <c r="A2395" s="1" t="s">
        <v>2107</v>
      </c>
      <c r="B2395" s="1" t="str">
        <f>IFERROR(__xludf.DUMMYFUNCTION("GOOGLETRANSLATE(A2321, ""zh-CN"", ""en"")"),"Henan Province")</f>
        <v>Henan Province</v>
      </c>
      <c r="C2395" s="1" t="s">
        <v>2114</v>
      </c>
      <c r="D2395" s="1" t="str">
        <f>IFERROR(__xludf.DUMMYFUNCTION("GOOGLETRANSLATE(C2395, ""zh-CN"", ""en"")"),"Xinxiang City")</f>
        <v>Xinxiang City</v>
      </c>
      <c r="E2395" s="1" t="s">
        <v>2199</v>
      </c>
      <c r="F2395" s="1" t="str">
        <f>IFERROR(__xludf.DUMMYFUNCTION("GOOGLETRANSLATE(E2395, ""zh-CN"", ""en"")"),"Fengqiu County")</f>
        <v>Fengqiu County</v>
      </c>
      <c r="G2395" s="1">
        <v>4.10727E11</v>
      </c>
    </row>
    <row r="2396">
      <c r="A2396" s="1" t="s">
        <v>2107</v>
      </c>
      <c r="B2396" s="1" t="str">
        <f>IFERROR(__xludf.DUMMYFUNCTION("GOOGLETRANSLATE(A2322, ""zh-CN"", ""en"")"),"Henan Province")</f>
        <v>Henan Province</v>
      </c>
      <c r="C2396" s="1" t="s">
        <v>2114</v>
      </c>
      <c r="D2396" s="1" t="str">
        <f>IFERROR(__xludf.DUMMYFUNCTION("GOOGLETRANSLATE(C2396, ""zh-CN"", ""en"")"),"Xinxiang City")</f>
        <v>Xinxiang City</v>
      </c>
      <c r="E2396" s="1" t="s">
        <v>2200</v>
      </c>
      <c r="F2396" s="1" t="str">
        <f>IFERROR(__xludf.DUMMYFUNCTION("GOOGLETRANSLATE(E2396, ""zh-CN"", ""en"")"),"Xinxiang High -tech Industrial Development Zone")</f>
        <v>Xinxiang High -tech Industrial Development Zone</v>
      </c>
      <c r="G2396" s="1">
        <v>4.10771E11</v>
      </c>
    </row>
    <row r="2397">
      <c r="A2397" s="1" t="s">
        <v>2107</v>
      </c>
      <c r="B2397" s="1" t="str">
        <f>IFERROR(__xludf.DUMMYFUNCTION("GOOGLETRANSLATE(A2323, ""zh-CN"", ""en"")"),"Henan Province")</f>
        <v>Henan Province</v>
      </c>
      <c r="C2397" s="1" t="s">
        <v>2114</v>
      </c>
      <c r="D2397" s="1" t="str">
        <f>IFERROR(__xludf.DUMMYFUNCTION("GOOGLETRANSLATE(C2397, ""zh-CN"", ""en"")"),"Xinxiang City")</f>
        <v>Xinxiang City</v>
      </c>
      <c r="E2397" s="1" t="s">
        <v>2201</v>
      </c>
      <c r="F2397" s="1" t="str">
        <f>IFERROR(__xludf.DUMMYFUNCTION("GOOGLETRANSLATE(E2397, ""zh-CN"", ""en"")"),"Xinxiang Economic and Technological Development Zone")</f>
        <v>Xinxiang Economic and Technological Development Zone</v>
      </c>
      <c r="G2397" s="1">
        <v>4.10772E11</v>
      </c>
    </row>
    <row r="2398">
      <c r="A2398" s="1" t="s">
        <v>2107</v>
      </c>
      <c r="B2398" s="1" t="str">
        <f>IFERROR(__xludf.DUMMYFUNCTION("GOOGLETRANSLATE(A2324, ""zh-CN"", ""en"")"),"Henan Province")</f>
        <v>Henan Province</v>
      </c>
      <c r="C2398" s="1" t="s">
        <v>2114</v>
      </c>
      <c r="D2398" s="1" t="str">
        <f>IFERROR(__xludf.DUMMYFUNCTION("GOOGLETRANSLATE(C2398, ""zh-CN"", ""en"")"),"Xinxiang City")</f>
        <v>Xinxiang City</v>
      </c>
      <c r="E2398" s="1" t="s">
        <v>2202</v>
      </c>
      <c r="F2398" s="1" t="str">
        <f>IFERROR(__xludf.DUMMYFUNCTION("GOOGLETRANSLATE(E2398, ""zh-CN"", ""en"")"),"Xinxiang Plain Urban and Rural Integrated Demonstration Zone")</f>
        <v>Xinxiang Plain Urban and Rural Integrated Demonstration Zone</v>
      </c>
      <c r="G2398" s="1">
        <v>4.10773E11</v>
      </c>
    </row>
    <row r="2399">
      <c r="A2399" s="1" t="s">
        <v>2107</v>
      </c>
      <c r="B2399" s="1" t="str">
        <f>IFERROR(__xludf.DUMMYFUNCTION("GOOGLETRANSLATE(A2325, ""zh-CN"", ""en"")"),"Henan Province")</f>
        <v>Henan Province</v>
      </c>
      <c r="C2399" s="1" t="s">
        <v>2114</v>
      </c>
      <c r="D2399" s="1" t="str">
        <f>IFERROR(__xludf.DUMMYFUNCTION("GOOGLETRANSLATE(C2399, ""zh-CN"", ""en"")"),"Xinxiang City")</f>
        <v>Xinxiang City</v>
      </c>
      <c r="E2399" s="1" t="s">
        <v>2203</v>
      </c>
      <c r="F2399" s="1" t="str">
        <f>IFERROR(__xludf.DUMMYFUNCTION("GOOGLETRANSLATE(E2399, ""zh-CN"", ""en"")"),"Weihui City")</f>
        <v>Weihui City</v>
      </c>
      <c r="G2399" s="1">
        <v>4.10781E11</v>
      </c>
    </row>
    <row r="2400">
      <c r="A2400" s="1" t="s">
        <v>2107</v>
      </c>
      <c r="B2400" s="1" t="str">
        <f>IFERROR(__xludf.DUMMYFUNCTION("GOOGLETRANSLATE(A2326, ""zh-CN"", ""en"")"),"Henan Province")</f>
        <v>Henan Province</v>
      </c>
      <c r="C2400" s="1" t="s">
        <v>2114</v>
      </c>
      <c r="D2400" s="1" t="str">
        <f>IFERROR(__xludf.DUMMYFUNCTION("GOOGLETRANSLATE(C2400, ""zh-CN"", ""en"")"),"Xinxiang City")</f>
        <v>Xinxiang City</v>
      </c>
      <c r="E2400" s="1" t="s">
        <v>2204</v>
      </c>
      <c r="F2400" s="1" t="str">
        <f>IFERROR(__xludf.DUMMYFUNCTION("GOOGLETRANSLATE(E2400, ""zh-CN"", ""en"")"),"Huixian City")</f>
        <v>Huixian City</v>
      </c>
      <c r="G2400" s="1">
        <v>4.10782E11</v>
      </c>
    </row>
    <row r="2401">
      <c r="A2401" s="1" t="s">
        <v>2107</v>
      </c>
      <c r="B2401" s="1" t="str">
        <f>IFERROR(__xludf.DUMMYFUNCTION("GOOGLETRANSLATE(A2327, ""zh-CN"", ""en"")"),"Henan Province")</f>
        <v>Henan Province</v>
      </c>
      <c r="C2401" s="1" t="s">
        <v>2114</v>
      </c>
      <c r="D2401" s="1" t="str">
        <f>IFERROR(__xludf.DUMMYFUNCTION("GOOGLETRANSLATE(C2401, ""zh-CN"", ""en"")"),"Xinxiang City")</f>
        <v>Xinxiang City</v>
      </c>
      <c r="E2401" s="1" t="s">
        <v>2205</v>
      </c>
      <c r="F2401" s="1" t="str">
        <f>IFERROR(__xludf.DUMMYFUNCTION("GOOGLETRANSLATE(E2401, ""zh-CN"", ""en"")"),"Changyuan City")</f>
        <v>Changyuan City</v>
      </c>
      <c r="G2401" s="1">
        <v>4.10783E11</v>
      </c>
    </row>
    <row r="2402">
      <c r="A2402" s="1" t="s">
        <v>2107</v>
      </c>
      <c r="B2402" s="1" t="str">
        <f>IFERROR(__xludf.DUMMYFUNCTION("GOOGLETRANSLATE(A2328, ""zh-CN"", ""en"")"),"Henan Province")</f>
        <v>Henan Province</v>
      </c>
      <c r="C2402" s="1" t="s">
        <v>2115</v>
      </c>
      <c r="D2402" s="1" t="str">
        <f>IFERROR(__xludf.DUMMYFUNCTION("GOOGLETRANSLATE(C2402, ""zh-CN"", ""en"")"),"Jiaozuo City")</f>
        <v>Jiaozuo City</v>
      </c>
      <c r="E2402" s="1" t="s">
        <v>24</v>
      </c>
      <c r="F2402" s="1" t="str">
        <f>IFERROR(__xludf.DUMMYFUNCTION("GOOGLETRANSLATE(E2402, ""zh-CN"", ""en"")"),"City area")</f>
        <v>City area</v>
      </c>
      <c r="G2402" s="1">
        <v>4.10801E11</v>
      </c>
    </row>
    <row r="2403">
      <c r="A2403" s="1" t="s">
        <v>2107</v>
      </c>
      <c r="B2403" s="1" t="str">
        <f>IFERROR(__xludf.DUMMYFUNCTION("GOOGLETRANSLATE(A2329, ""zh-CN"", ""en"")"),"Henan Province")</f>
        <v>Henan Province</v>
      </c>
      <c r="C2403" s="1" t="s">
        <v>2115</v>
      </c>
      <c r="D2403" s="1" t="str">
        <f>IFERROR(__xludf.DUMMYFUNCTION("GOOGLETRANSLATE(C2403, ""zh-CN"", ""en"")"),"Jiaozuo City")</f>
        <v>Jiaozuo City</v>
      </c>
      <c r="E2403" s="1" t="s">
        <v>2206</v>
      </c>
      <c r="F2403" s="1" t="str">
        <f>IFERROR(__xludf.DUMMYFUNCTION("GOOGLETRANSLATE(E2403, ""zh-CN"", ""en"")"),"Liberation area")</f>
        <v>Liberation area</v>
      </c>
      <c r="G2403" s="1">
        <v>4.10802E11</v>
      </c>
    </row>
    <row r="2404">
      <c r="A2404" s="1" t="s">
        <v>2107</v>
      </c>
      <c r="B2404" s="1" t="str">
        <f>IFERROR(__xludf.DUMMYFUNCTION("GOOGLETRANSLATE(A2330, ""zh-CN"", ""en"")"),"Henan Province")</f>
        <v>Henan Province</v>
      </c>
      <c r="C2404" s="1" t="s">
        <v>2115</v>
      </c>
      <c r="D2404" s="1" t="str">
        <f>IFERROR(__xludf.DUMMYFUNCTION("GOOGLETRANSLATE(C2404, ""zh-CN"", ""en"")"),"Jiaozuo City")</f>
        <v>Jiaozuo City</v>
      </c>
      <c r="E2404" s="1" t="s">
        <v>2207</v>
      </c>
      <c r="F2404" s="1" t="str">
        <f>IFERROR(__xludf.DUMMYFUNCTION("GOOGLETRANSLATE(E2404, ""zh-CN"", ""en"")"),"Central station area")</f>
        <v>Central station area</v>
      </c>
      <c r="G2404" s="1">
        <v>4.10803E11</v>
      </c>
    </row>
    <row r="2405">
      <c r="A2405" s="1" t="s">
        <v>2107</v>
      </c>
      <c r="B2405" s="1" t="str">
        <f>IFERROR(__xludf.DUMMYFUNCTION("GOOGLETRANSLATE(A2331, ""zh-CN"", ""en"")"),"Henan Province")</f>
        <v>Henan Province</v>
      </c>
      <c r="C2405" s="1" t="s">
        <v>2115</v>
      </c>
      <c r="D2405" s="1" t="str">
        <f>IFERROR(__xludf.DUMMYFUNCTION("GOOGLETRANSLATE(C2405, ""zh-CN"", ""en"")"),"Jiaozuo City")</f>
        <v>Jiaozuo City</v>
      </c>
      <c r="E2405" s="1" t="s">
        <v>2208</v>
      </c>
      <c r="F2405" s="1" t="str">
        <f>IFERROR(__xludf.DUMMYFUNCTION("GOOGLETRANSLATE(E2405, ""zh-CN"", ""en"")"),"Ma Village")</f>
        <v>Ma Village</v>
      </c>
      <c r="G2405" s="1">
        <v>4.10804E11</v>
      </c>
    </row>
    <row r="2406">
      <c r="A2406" s="1" t="s">
        <v>2107</v>
      </c>
      <c r="B2406" s="1" t="str">
        <f>IFERROR(__xludf.DUMMYFUNCTION("GOOGLETRANSLATE(A2332, ""zh-CN"", ""en"")"),"Henan Province")</f>
        <v>Henan Province</v>
      </c>
      <c r="C2406" s="1" t="s">
        <v>2115</v>
      </c>
      <c r="D2406" s="1" t="str">
        <f>IFERROR(__xludf.DUMMYFUNCTION("GOOGLETRANSLATE(C2406, ""zh-CN"", ""en"")"),"Jiaozuo City")</f>
        <v>Jiaozuo City</v>
      </c>
      <c r="E2406" s="1" t="s">
        <v>2209</v>
      </c>
      <c r="F2406" s="1" t="str">
        <f>IFERROR(__xludf.DUMMYFUNCTION("GOOGLETRANSLATE(E2406, ""zh-CN"", ""en"")"),"Shanyang District")</f>
        <v>Shanyang District</v>
      </c>
      <c r="G2406" s="1">
        <v>4.10811E11</v>
      </c>
    </row>
    <row r="2407">
      <c r="A2407" s="1" t="s">
        <v>2107</v>
      </c>
      <c r="B2407" s="1" t="str">
        <f>IFERROR(__xludf.DUMMYFUNCTION("GOOGLETRANSLATE(A2333, ""zh-CN"", ""en"")"),"Henan Province")</f>
        <v>Henan Province</v>
      </c>
      <c r="C2407" s="1" t="s">
        <v>2115</v>
      </c>
      <c r="D2407" s="1" t="str">
        <f>IFERROR(__xludf.DUMMYFUNCTION("GOOGLETRANSLATE(C2407, ""zh-CN"", ""en"")"),"Jiaozuo City")</f>
        <v>Jiaozuo City</v>
      </c>
      <c r="E2407" s="1" t="s">
        <v>2210</v>
      </c>
      <c r="F2407" s="1" t="str">
        <f>IFERROR(__xludf.DUMMYFUNCTION("GOOGLETRANSLATE(E2407, ""zh-CN"", ""en"")"),"Xiuwu County")</f>
        <v>Xiuwu County</v>
      </c>
      <c r="G2407" s="1">
        <v>4.10821E11</v>
      </c>
    </row>
    <row r="2408">
      <c r="A2408" s="1" t="s">
        <v>2107</v>
      </c>
      <c r="B2408" s="1" t="str">
        <f>IFERROR(__xludf.DUMMYFUNCTION("GOOGLETRANSLATE(A2334, ""zh-CN"", ""en"")"),"Henan Province")</f>
        <v>Henan Province</v>
      </c>
      <c r="C2408" s="1" t="s">
        <v>2115</v>
      </c>
      <c r="D2408" s="1" t="str">
        <f>IFERROR(__xludf.DUMMYFUNCTION("GOOGLETRANSLATE(C2408, ""zh-CN"", ""en"")"),"Jiaozuo City")</f>
        <v>Jiaozuo City</v>
      </c>
      <c r="E2408" s="1" t="s">
        <v>2211</v>
      </c>
      <c r="F2408" s="1" t="str">
        <f>IFERROR(__xludf.DUMMYFUNCTION("GOOGLETRANSLATE(E2408, ""zh-CN"", ""en"")"),"Boai County")</f>
        <v>Boai County</v>
      </c>
      <c r="G2408" s="1">
        <v>4.10822E11</v>
      </c>
    </row>
    <row r="2409">
      <c r="A2409" s="1" t="s">
        <v>2107</v>
      </c>
      <c r="B2409" s="1" t="str">
        <f>IFERROR(__xludf.DUMMYFUNCTION("GOOGLETRANSLATE(A2335, ""zh-CN"", ""en"")"),"Henan Province")</f>
        <v>Henan Province</v>
      </c>
      <c r="C2409" s="1" t="s">
        <v>2115</v>
      </c>
      <c r="D2409" s="1" t="str">
        <f>IFERROR(__xludf.DUMMYFUNCTION("GOOGLETRANSLATE(C2409, ""zh-CN"", ""en"")"),"Jiaozuo City")</f>
        <v>Jiaozuo City</v>
      </c>
      <c r="E2409" s="1" t="s">
        <v>2212</v>
      </c>
      <c r="F2409" s="1" t="str">
        <f>IFERROR(__xludf.DUMMYFUNCTION("GOOGLETRANSLATE(E2409, ""zh-CN"", ""en"")"),"Martial arts")</f>
        <v>Martial arts</v>
      </c>
      <c r="G2409" s="1">
        <v>4.10823E11</v>
      </c>
    </row>
    <row r="2410">
      <c r="A2410" s="1" t="s">
        <v>2107</v>
      </c>
      <c r="B2410" s="1" t="str">
        <f>IFERROR(__xludf.DUMMYFUNCTION("GOOGLETRANSLATE(A2336, ""zh-CN"", ""en"")"),"Henan Province")</f>
        <v>Henan Province</v>
      </c>
      <c r="C2410" s="1" t="s">
        <v>2115</v>
      </c>
      <c r="D2410" s="1" t="str">
        <f>IFERROR(__xludf.DUMMYFUNCTION("GOOGLETRANSLATE(C2410, ""zh-CN"", ""en"")"),"Jiaozuo City")</f>
        <v>Jiaozuo City</v>
      </c>
      <c r="E2410" s="1" t="s">
        <v>2213</v>
      </c>
      <c r="F2410" s="1" t="str">
        <f>IFERROR(__xludf.DUMMYFUNCTION("GOOGLETRANSLATE(E2410, ""zh-CN"", ""en"")"),"Wen County")</f>
        <v>Wen County</v>
      </c>
      <c r="G2410" s="1">
        <v>4.10825E11</v>
      </c>
    </row>
    <row r="2411">
      <c r="A2411" s="1" t="s">
        <v>2107</v>
      </c>
      <c r="B2411" s="1" t="str">
        <f>IFERROR(__xludf.DUMMYFUNCTION("GOOGLETRANSLATE(A2337, ""zh-CN"", ""en"")"),"Henan Province")</f>
        <v>Henan Province</v>
      </c>
      <c r="C2411" s="1" t="s">
        <v>2115</v>
      </c>
      <c r="D2411" s="1" t="str">
        <f>IFERROR(__xludf.DUMMYFUNCTION("GOOGLETRANSLATE(C2411, ""zh-CN"", ""en"")"),"Jiaozuo City")</f>
        <v>Jiaozuo City</v>
      </c>
      <c r="E2411" s="1" t="s">
        <v>2214</v>
      </c>
      <c r="F2411" s="1" t="str">
        <f>IFERROR(__xludf.DUMMYFUNCTION("GOOGLETRANSLATE(E2411, ""zh-CN"", ""en"")"),"Jiaozuo Urban and Rural Integrated Demonstration Zone")</f>
        <v>Jiaozuo Urban and Rural Integrated Demonstration Zone</v>
      </c>
      <c r="G2411" s="1">
        <v>4.10871E11</v>
      </c>
    </row>
    <row r="2412">
      <c r="A2412" s="1" t="s">
        <v>2107</v>
      </c>
      <c r="B2412" s="1" t="str">
        <f>IFERROR(__xludf.DUMMYFUNCTION("GOOGLETRANSLATE(A2338, ""zh-CN"", ""en"")"),"Henan Province")</f>
        <v>Henan Province</v>
      </c>
      <c r="C2412" s="1" t="s">
        <v>2115</v>
      </c>
      <c r="D2412" s="1" t="str">
        <f>IFERROR(__xludf.DUMMYFUNCTION("GOOGLETRANSLATE(C2412, ""zh-CN"", ""en"")"),"Jiaozuo City")</f>
        <v>Jiaozuo City</v>
      </c>
      <c r="E2412" s="1" t="s">
        <v>2215</v>
      </c>
      <c r="F2412" s="1" t="str">
        <f>IFERROR(__xludf.DUMMYFUNCTION("GOOGLETRANSLATE(E2412, ""zh-CN"", ""en"")"),"Qinyang City")</f>
        <v>Qinyang City</v>
      </c>
      <c r="G2412" s="1">
        <v>4.10882E11</v>
      </c>
    </row>
    <row r="2413">
      <c r="A2413" s="1" t="s">
        <v>2107</v>
      </c>
      <c r="B2413" s="1" t="str">
        <f>IFERROR(__xludf.DUMMYFUNCTION("GOOGLETRANSLATE(A2339, ""zh-CN"", ""en"")"),"Henan Province")</f>
        <v>Henan Province</v>
      </c>
      <c r="C2413" s="1" t="s">
        <v>2115</v>
      </c>
      <c r="D2413" s="1" t="str">
        <f>IFERROR(__xludf.DUMMYFUNCTION("GOOGLETRANSLATE(C2413, ""zh-CN"", ""en"")"),"Jiaozuo City")</f>
        <v>Jiaozuo City</v>
      </c>
      <c r="E2413" s="1" t="s">
        <v>2216</v>
      </c>
      <c r="F2413" s="1" t="str">
        <f>IFERROR(__xludf.DUMMYFUNCTION("GOOGLETRANSLATE(E2413, ""zh-CN"", ""en"")"),"Mengzhou")</f>
        <v>Mengzhou</v>
      </c>
      <c r="G2413" s="1">
        <v>4.10883E11</v>
      </c>
    </row>
    <row r="2414">
      <c r="A2414" s="1" t="s">
        <v>2107</v>
      </c>
      <c r="B2414" s="1" t="str">
        <f>IFERROR(__xludf.DUMMYFUNCTION("GOOGLETRANSLATE(A2340, ""zh-CN"", ""en"")"),"Henan Province")</f>
        <v>Henan Province</v>
      </c>
      <c r="C2414" s="1" t="s">
        <v>2116</v>
      </c>
      <c r="D2414" s="1" t="str">
        <f>IFERROR(__xludf.DUMMYFUNCTION("GOOGLETRANSLATE(C2414, ""zh-CN"", ""en"")"),"Puyang City")</f>
        <v>Puyang City</v>
      </c>
      <c r="E2414" s="1" t="s">
        <v>24</v>
      </c>
      <c r="F2414" s="1" t="str">
        <f>IFERROR(__xludf.DUMMYFUNCTION("GOOGLETRANSLATE(E2414, ""zh-CN"", ""en"")"),"City area")</f>
        <v>City area</v>
      </c>
      <c r="G2414" s="1">
        <v>4.10901E11</v>
      </c>
    </row>
    <row r="2415">
      <c r="A2415" s="1" t="s">
        <v>2107</v>
      </c>
      <c r="B2415" s="1" t="str">
        <f>IFERROR(__xludf.DUMMYFUNCTION("GOOGLETRANSLATE(A2341, ""zh-CN"", ""en"")"),"Henan Province")</f>
        <v>Henan Province</v>
      </c>
      <c r="C2415" s="1" t="s">
        <v>2116</v>
      </c>
      <c r="D2415" s="1" t="str">
        <f>IFERROR(__xludf.DUMMYFUNCTION("GOOGLETRANSLATE(C2415, ""zh-CN"", ""en"")"),"Puyang City")</f>
        <v>Puyang City</v>
      </c>
      <c r="E2415" s="1" t="s">
        <v>2217</v>
      </c>
      <c r="F2415" s="1" t="str">
        <f>IFERROR(__xludf.DUMMYFUNCTION("GOOGLETRANSLATE(E2415, ""zh-CN"", ""en"")"),"Hualong District")</f>
        <v>Hualong District</v>
      </c>
      <c r="G2415" s="1">
        <v>4.10902E11</v>
      </c>
    </row>
    <row r="2416">
      <c r="A2416" s="1" t="s">
        <v>2107</v>
      </c>
      <c r="B2416" s="1" t="str">
        <f>IFERROR(__xludf.DUMMYFUNCTION("GOOGLETRANSLATE(A2342, ""zh-CN"", ""en"")"),"Henan Province")</f>
        <v>Henan Province</v>
      </c>
      <c r="C2416" s="1" t="s">
        <v>2116</v>
      </c>
      <c r="D2416" s="1" t="str">
        <f>IFERROR(__xludf.DUMMYFUNCTION("GOOGLETRANSLATE(C2416, ""zh-CN"", ""en"")"),"Puyang City")</f>
        <v>Puyang City</v>
      </c>
      <c r="E2416" s="1" t="s">
        <v>2218</v>
      </c>
      <c r="F2416" s="1" t="str">
        <f>IFERROR(__xludf.DUMMYFUNCTION("GOOGLETRANSLATE(E2416, ""zh-CN"", ""en"")"),"Qingfeng County")</f>
        <v>Qingfeng County</v>
      </c>
      <c r="G2416" s="1">
        <v>4.10922E11</v>
      </c>
    </row>
    <row r="2417">
      <c r="A2417" s="1" t="s">
        <v>2107</v>
      </c>
      <c r="B2417" s="1" t="str">
        <f>IFERROR(__xludf.DUMMYFUNCTION("GOOGLETRANSLATE(A2343, ""zh-CN"", ""en"")"),"Henan Province")</f>
        <v>Henan Province</v>
      </c>
      <c r="C2417" s="1" t="s">
        <v>2116</v>
      </c>
      <c r="D2417" s="1" t="str">
        <f>IFERROR(__xludf.DUMMYFUNCTION("GOOGLETRANSLATE(C2417, ""zh-CN"", ""en"")"),"Puyang City")</f>
        <v>Puyang City</v>
      </c>
      <c r="E2417" s="1" t="s">
        <v>2219</v>
      </c>
      <c r="F2417" s="1" t="str">
        <f>IFERROR(__xludf.DUMMYFUNCTION("GOOGLETRANSLATE(E2417, ""zh-CN"", ""en"")"),"Nanle County")</f>
        <v>Nanle County</v>
      </c>
      <c r="G2417" s="1">
        <v>4.10923E11</v>
      </c>
    </row>
    <row r="2418">
      <c r="A2418" s="1" t="s">
        <v>2107</v>
      </c>
      <c r="B2418" s="1" t="str">
        <f>IFERROR(__xludf.DUMMYFUNCTION("GOOGLETRANSLATE(A2344, ""zh-CN"", ""en"")"),"Henan Province")</f>
        <v>Henan Province</v>
      </c>
      <c r="C2418" s="1" t="s">
        <v>2116</v>
      </c>
      <c r="D2418" s="1" t="str">
        <f>IFERROR(__xludf.DUMMYFUNCTION("GOOGLETRANSLATE(C2418, ""zh-CN"", ""en"")"),"Puyang City")</f>
        <v>Puyang City</v>
      </c>
      <c r="E2418" s="1" t="s">
        <v>2220</v>
      </c>
      <c r="F2418" s="1" t="str">
        <f>IFERROR(__xludf.DUMMYFUNCTION("GOOGLETRANSLATE(E2418, ""zh-CN"", ""en"")"),"Fan County")</f>
        <v>Fan County</v>
      </c>
      <c r="G2418" s="1">
        <v>4.10926E11</v>
      </c>
    </row>
    <row r="2419">
      <c r="A2419" s="1" t="s">
        <v>2107</v>
      </c>
      <c r="B2419" s="1" t="str">
        <f>IFERROR(__xludf.DUMMYFUNCTION("GOOGLETRANSLATE(A2345, ""zh-CN"", ""en"")"),"Henan Province")</f>
        <v>Henan Province</v>
      </c>
      <c r="C2419" s="1" t="s">
        <v>2116</v>
      </c>
      <c r="D2419" s="1" t="str">
        <f>IFERROR(__xludf.DUMMYFUNCTION("GOOGLETRANSLATE(C2419, ""zh-CN"", ""en"")"),"Puyang City")</f>
        <v>Puyang City</v>
      </c>
      <c r="E2419" s="1" t="s">
        <v>2221</v>
      </c>
      <c r="F2419" s="1" t="str">
        <f>IFERROR(__xludf.DUMMYFUNCTION("GOOGLETRANSLATE(E2419, ""zh-CN"", ""en"")"),"Former county")</f>
        <v>Former county</v>
      </c>
      <c r="G2419" s="1">
        <v>4.10927E11</v>
      </c>
    </row>
    <row r="2420">
      <c r="A2420" s="1" t="s">
        <v>2107</v>
      </c>
      <c r="B2420" s="1" t="str">
        <f>IFERROR(__xludf.DUMMYFUNCTION("GOOGLETRANSLATE(A2346, ""zh-CN"", ""en"")"),"Henan Province")</f>
        <v>Henan Province</v>
      </c>
      <c r="C2420" s="1" t="s">
        <v>2116</v>
      </c>
      <c r="D2420" s="1" t="str">
        <f>IFERROR(__xludf.DUMMYFUNCTION("GOOGLETRANSLATE(C2420, ""zh-CN"", ""en"")"),"Puyang City")</f>
        <v>Puyang City</v>
      </c>
      <c r="E2420" s="1" t="s">
        <v>2222</v>
      </c>
      <c r="F2420" s="1" t="str">
        <f>IFERROR(__xludf.DUMMYFUNCTION("GOOGLETRANSLATE(E2420, ""zh-CN"", ""en"")"),"Puyang County")</f>
        <v>Puyang County</v>
      </c>
      <c r="G2420" s="1">
        <v>4.10928E11</v>
      </c>
    </row>
    <row r="2421">
      <c r="A2421" s="1" t="s">
        <v>2107</v>
      </c>
      <c r="B2421" s="1" t="str">
        <f>IFERROR(__xludf.DUMMYFUNCTION("GOOGLETRANSLATE(A2347, ""zh-CN"", ""en"")"),"Henan Province")</f>
        <v>Henan Province</v>
      </c>
      <c r="C2421" s="1" t="s">
        <v>2116</v>
      </c>
      <c r="D2421" s="1" t="str">
        <f>IFERROR(__xludf.DUMMYFUNCTION("GOOGLETRANSLATE(C2421, ""zh-CN"", ""en"")"),"Puyang City")</f>
        <v>Puyang City</v>
      </c>
      <c r="E2421" s="1" t="s">
        <v>2223</v>
      </c>
      <c r="F2421" s="1" t="str">
        <f>IFERROR(__xludf.DUMMYFUNCTION("GOOGLETRANSLATE(E2421, ""zh-CN"", ""en"")"),"Henan Puyang Industrial Park")</f>
        <v>Henan Puyang Industrial Park</v>
      </c>
      <c r="G2421" s="1">
        <v>4.10971E11</v>
      </c>
    </row>
    <row r="2422">
      <c r="A2422" s="1" t="s">
        <v>2107</v>
      </c>
      <c r="B2422" s="1" t="str">
        <f>IFERROR(__xludf.DUMMYFUNCTION("GOOGLETRANSLATE(A2348, ""zh-CN"", ""en"")"),"Henan Province")</f>
        <v>Henan Province</v>
      </c>
      <c r="C2422" s="1" t="s">
        <v>2116</v>
      </c>
      <c r="D2422" s="1" t="str">
        <f>IFERROR(__xludf.DUMMYFUNCTION("GOOGLETRANSLATE(C2422, ""zh-CN"", ""en"")"),"Puyang City")</f>
        <v>Puyang City</v>
      </c>
      <c r="E2422" s="1" t="s">
        <v>2224</v>
      </c>
      <c r="F2422" s="1" t="str">
        <f>IFERROR(__xludf.DUMMYFUNCTION("GOOGLETRANSLATE(E2422, ""zh-CN"", ""en"")"),"Puyang Economic and Technological Development Zone")</f>
        <v>Puyang Economic and Technological Development Zone</v>
      </c>
      <c r="G2422" s="1">
        <v>4.10972E11</v>
      </c>
    </row>
    <row r="2423">
      <c r="A2423" s="1" t="s">
        <v>2107</v>
      </c>
      <c r="B2423" s="1" t="str">
        <f>IFERROR(__xludf.DUMMYFUNCTION("GOOGLETRANSLATE(A2349, ""zh-CN"", ""en"")"),"Henan Province")</f>
        <v>Henan Province</v>
      </c>
      <c r="C2423" s="1" t="s">
        <v>2117</v>
      </c>
      <c r="D2423" s="1" t="str">
        <f>IFERROR(__xludf.DUMMYFUNCTION("GOOGLETRANSLATE(C2423, ""zh-CN"", ""en"")"),"Xuchang")</f>
        <v>Xuchang</v>
      </c>
      <c r="E2423" s="1" t="s">
        <v>24</v>
      </c>
      <c r="F2423" s="1" t="str">
        <f>IFERROR(__xludf.DUMMYFUNCTION("GOOGLETRANSLATE(E2423, ""zh-CN"", ""en"")"),"City area")</f>
        <v>City area</v>
      </c>
      <c r="G2423" s="1">
        <v>4.11001E11</v>
      </c>
    </row>
    <row r="2424">
      <c r="A2424" s="1" t="s">
        <v>2107</v>
      </c>
      <c r="B2424" s="1" t="str">
        <f>IFERROR(__xludf.DUMMYFUNCTION("GOOGLETRANSLATE(A2350, ""zh-CN"", ""en"")"),"Henan Province")</f>
        <v>Henan Province</v>
      </c>
      <c r="C2424" s="1" t="s">
        <v>2117</v>
      </c>
      <c r="D2424" s="1" t="str">
        <f>IFERROR(__xludf.DUMMYFUNCTION("GOOGLETRANSLATE(C2424, ""zh-CN"", ""en"")"),"Xuchang")</f>
        <v>Xuchang</v>
      </c>
      <c r="E2424" s="1" t="s">
        <v>2225</v>
      </c>
      <c r="F2424" s="1" t="str">
        <f>IFERROR(__xludf.DUMMYFUNCTION("GOOGLETRANSLATE(E2424, ""zh-CN"", ""en"")"),"Weidu District")</f>
        <v>Weidu District</v>
      </c>
      <c r="G2424" s="1">
        <v>4.11002E11</v>
      </c>
    </row>
    <row r="2425">
      <c r="A2425" s="1" t="s">
        <v>2107</v>
      </c>
      <c r="B2425" s="1" t="str">
        <f>IFERROR(__xludf.DUMMYFUNCTION("GOOGLETRANSLATE(A2351, ""zh-CN"", ""en"")"),"Henan Province")</f>
        <v>Henan Province</v>
      </c>
      <c r="C2425" s="1" t="s">
        <v>2117</v>
      </c>
      <c r="D2425" s="1" t="str">
        <f>IFERROR(__xludf.DUMMYFUNCTION("GOOGLETRANSLATE(C2425, ""zh-CN"", ""en"")"),"Xuchang")</f>
        <v>Xuchang</v>
      </c>
      <c r="E2425" s="1" t="s">
        <v>2226</v>
      </c>
      <c r="F2425" s="1" t="str">
        <f>IFERROR(__xludf.DUMMYFUNCTION("GOOGLETRANSLATE(E2425, ""zh-CN"", ""en"")"),"Jian'an District")</f>
        <v>Jian'an District</v>
      </c>
      <c r="G2425" s="1">
        <v>4.11003E11</v>
      </c>
    </row>
    <row r="2426">
      <c r="A2426" s="1" t="s">
        <v>2107</v>
      </c>
      <c r="B2426" s="1" t="str">
        <f>IFERROR(__xludf.DUMMYFUNCTION("GOOGLETRANSLATE(A2352, ""zh-CN"", ""en"")"),"Henan Province")</f>
        <v>Henan Province</v>
      </c>
      <c r="C2426" s="1" t="s">
        <v>2117</v>
      </c>
      <c r="D2426" s="1" t="str">
        <f>IFERROR(__xludf.DUMMYFUNCTION("GOOGLETRANSLATE(C2426, ""zh-CN"", ""en"")"),"Xuchang")</f>
        <v>Xuchang</v>
      </c>
      <c r="E2426" s="1" t="s">
        <v>2227</v>
      </c>
      <c r="F2426" s="1" t="str">
        <f>IFERROR(__xludf.DUMMYFUNCTION("GOOGLETRANSLATE(E2426, ""zh-CN"", ""en"")"),"Liling County")</f>
        <v>Liling County</v>
      </c>
      <c r="G2426" s="1">
        <v>4.11024E11</v>
      </c>
    </row>
    <row r="2427">
      <c r="A2427" s="1" t="s">
        <v>2107</v>
      </c>
      <c r="B2427" s="1" t="str">
        <f>IFERROR(__xludf.DUMMYFUNCTION("GOOGLETRANSLATE(A2353, ""zh-CN"", ""en"")"),"Henan Province")</f>
        <v>Henan Province</v>
      </c>
      <c r="C2427" s="1" t="s">
        <v>2117</v>
      </c>
      <c r="D2427" s="1" t="str">
        <f>IFERROR(__xludf.DUMMYFUNCTION("GOOGLETRANSLATE(C2427, ""zh-CN"", ""en"")"),"Xuchang")</f>
        <v>Xuchang</v>
      </c>
      <c r="E2427" s="1" t="s">
        <v>2228</v>
      </c>
      <c r="F2427" s="1" t="str">
        <f>IFERROR(__xludf.DUMMYFUNCTION("GOOGLETRANSLATE(E2427, ""zh-CN"", ""en"")"),"Xiangcheng County")</f>
        <v>Xiangcheng County</v>
      </c>
      <c r="G2427" s="1">
        <v>4.11025E11</v>
      </c>
    </row>
    <row r="2428">
      <c r="A2428" s="1" t="s">
        <v>2107</v>
      </c>
      <c r="B2428" s="1" t="str">
        <f>IFERROR(__xludf.DUMMYFUNCTION("GOOGLETRANSLATE(A2354, ""zh-CN"", ""en"")"),"Henan Province")</f>
        <v>Henan Province</v>
      </c>
      <c r="C2428" s="1" t="s">
        <v>2117</v>
      </c>
      <c r="D2428" s="1" t="str">
        <f>IFERROR(__xludf.DUMMYFUNCTION("GOOGLETRANSLATE(C2428, ""zh-CN"", ""en"")"),"Xuchang")</f>
        <v>Xuchang</v>
      </c>
      <c r="E2428" s="1" t="s">
        <v>2229</v>
      </c>
      <c r="F2428" s="1" t="str">
        <f>IFERROR(__xludf.DUMMYFUNCTION("GOOGLETRANSLATE(E2428, ""zh-CN"", ""en"")"),"Xuchang Economic and Technological Development Zone")</f>
        <v>Xuchang Economic and Technological Development Zone</v>
      </c>
      <c r="G2428" s="1">
        <v>4.11071E11</v>
      </c>
    </row>
    <row r="2429">
      <c r="A2429" s="1" t="s">
        <v>2107</v>
      </c>
      <c r="B2429" s="1" t="str">
        <f>IFERROR(__xludf.DUMMYFUNCTION("GOOGLETRANSLATE(A2355, ""zh-CN"", ""en"")"),"Henan Province")</f>
        <v>Henan Province</v>
      </c>
      <c r="C2429" s="1" t="s">
        <v>2117</v>
      </c>
      <c r="D2429" s="1" t="str">
        <f>IFERROR(__xludf.DUMMYFUNCTION("GOOGLETRANSLATE(C2429, ""zh-CN"", ""en"")"),"Xuchang")</f>
        <v>Xuchang</v>
      </c>
      <c r="E2429" s="1" t="s">
        <v>2230</v>
      </c>
      <c r="F2429" s="1" t="str">
        <f>IFERROR(__xludf.DUMMYFUNCTION("GOOGLETRANSLATE(E2429, ""zh-CN"", ""en"")"),"Yuzhou")</f>
        <v>Yuzhou</v>
      </c>
      <c r="G2429" s="1">
        <v>4.11081E11</v>
      </c>
    </row>
    <row r="2430">
      <c r="A2430" s="1" t="s">
        <v>2107</v>
      </c>
      <c r="B2430" s="1" t="str">
        <f>IFERROR(__xludf.DUMMYFUNCTION("GOOGLETRANSLATE(A2356, ""zh-CN"", ""en"")"),"Henan Province")</f>
        <v>Henan Province</v>
      </c>
      <c r="C2430" s="1" t="s">
        <v>2117</v>
      </c>
      <c r="D2430" s="1" t="str">
        <f>IFERROR(__xludf.DUMMYFUNCTION("GOOGLETRANSLATE(C2430, ""zh-CN"", ""en"")"),"Xuchang")</f>
        <v>Xuchang</v>
      </c>
      <c r="E2430" s="1" t="s">
        <v>2231</v>
      </c>
      <c r="F2430" s="1" t="str">
        <f>IFERROR(__xludf.DUMMYFUNCTION("GOOGLETRANSLATE(E2430, ""zh-CN"", ""en"")"),"Changge City")</f>
        <v>Changge City</v>
      </c>
      <c r="G2430" s="1">
        <v>4.11082E11</v>
      </c>
    </row>
    <row r="2431">
      <c r="A2431" s="1" t="s">
        <v>2107</v>
      </c>
      <c r="B2431" s="1" t="str">
        <f>IFERROR(__xludf.DUMMYFUNCTION("GOOGLETRANSLATE(A2357, ""zh-CN"", ""en"")"),"Henan Province")</f>
        <v>Henan Province</v>
      </c>
      <c r="C2431" s="1" t="s">
        <v>2118</v>
      </c>
      <c r="D2431" s="1" t="str">
        <f>IFERROR(__xludf.DUMMYFUNCTION("GOOGLETRANSLATE(C2431, ""zh-CN"", ""en"")"),"Luohe City")</f>
        <v>Luohe City</v>
      </c>
      <c r="E2431" s="1" t="s">
        <v>24</v>
      </c>
      <c r="F2431" s="1" t="str">
        <f>IFERROR(__xludf.DUMMYFUNCTION("GOOGLETRANSLATE(E2431, ""zh-CN"", ""en"")"),"City area")</f>
        <v>City area</v>
      </c>
      <c r="G2431" s="1">
        <v>4.11101E11</v>
      </c>
    </row>
    <row r="2432">
      <c r="A2432" s="1" t="s">
        <v>2107</v>
      </c>
      <c r="B2432" s="1" t="str">
        <f>IFERROR(__xludf.DUMMYFUNCTION("GOOGLETRANSLATE(A2358, ""zh-CN"", ""en"")"),"Henan Province")</f>
        <v>Henan Province</v>
      </c>
      <c r="C2432" s="1" t="s">
        <v>2118</v>
      </c>
      <c r="D2432" s="1" t="str">
        <f>IFERROR(__xludf.DUMMYFUNCTION("GOOGLETRANSLATE(C2432, ""zh-CN"", ""en"")"),"Luohe City")</f>
        <v>Luohe City</v>
      </c>
      <c r="E2432" s="1" t="s">
        <v>2232</v>
      </c>
      <c r="F2432" s="1" t="str">
        <f>IFERROR(__xludf.DUMMYFUNCTION("GOOGLETRANSLATE(E2432, ""zh-CN"", ""en"")"),"Yuanhui District")</f>
        <v>Yuanhui District</v>
      </c>
      <c r="G2432" s="1">
        <v>4.11102E11</v>
      </c>
    </row>
    <row r="2433">
      <c r="A2433" s="1" t="s">
        <v>2107</v>
      </c>
      <c r="B2433" s="1" t="str">
        <f>IFERROR(__xludf.DUMMYFUNCTION("GOOGLETRANSLATE(A2359, ""zh-CN"", ""en"")"),"Henan Province")</f>
        <v>Henan Province</v>
      </c>
      <c r="C2433" s="1" t="s">
        <v>2118</v>
      </c>
      <c r="D2433" s="1" t="str">
        <f>IFERROR(__xludf.DUMMYFUNCTION("GOOGLETRANSLATE(C2433, ""zh-CN"", ""en"")"),"Luohe City")</f>
        <v>Luohe City</v>
      </c>
      <c r="E2433" s="1" t="s">
        <v>2233</v>
      </c>
      <c r="F2433" s="1" t="str">
        <f>IFERROR(__xludf.DUMMYFUNCTION("GOOGLETRANSLATE(E2433, ""zh-CN"", ""en"")"),"Laocheng District")</f>
        <v>Laocheng District</v>
      </c>
      <c r="G2433" s="1">
        <v>4.11103E11</v>
      </c>
    </row>
    <row r="2434">
      <c r="A2434" s="1" t="s">
        <v>2107</v>
      </c>
      <c r="B2434" s="1" t="str">
        <f>IFERROR(__xludf.DUMMYFUNCTION("GOOGLETRANSLATE(A2360, ""zh-CN"", ""en"")"),"Henan Province")</f>
        <v>Henan Province</v>
      </c>
      <c r="C2434" s="1" t="s">
        <v>2118</v>
      </c>
      <c r="D2434" s="1" t="str">
        <f>IFERROR(__xludf.DUMMYFUNCTION("GOOGLETRANSLATE(C2434, ""zh-CN"", ""en"")"),"Luohe City")</f>
        <v>Luohe City</v>
      </c>
      <c r="E2434" s="1" t="s">
        <v>2234</v>
      </c>
      <c r="F2434" s="1" t="str">
        <f>IFERROR(__xludf.DUMMYFUNCTION("GOOGLETRANSLATE(E2434, ""zh-CN"", ""en"")"),"Zuming District")</f>
        <v>Zuming District</v>
      </c>
      <c r="G2434" s="1">
        <v>4.11104E11</v>
      </c>
    </row>
    <row r="2435">
      <c r="A2435" s="1" t="s">
        <v>2107</v>
      </c>
      <c r="B2435" s="1" t="str">
        <f>IFERROR(__xludf.DUMMYFUNCTION("GOOGLETRANSLATE(A2361, ""zh-CN"", ""en"")"),"Henan Province")</f>
        <v>Henan Province</v>
      </c>
      <c r="C2435" s="1" t="s">
        <v>2118</v>
      </c>
      <c r="D2435" s="1" t="str">
        <f>IFERROR(__xludf.DUMMYFUNCTION("GOOGLETRANSLATE(C2435, ""zh-CN"", ""en"")"),"Luohe City")</f>
        <v>Luohe City</v>
      </c>
      <c r="E2435" s="1" t="s">
        <v>2235</v>
      </c>
      <c r="F2435" s="1" t="str">
        <f>IFERROR(__xludf.DUMMYFUNCTION("GOOGLETRANSLATE(E2435, ""zh-CN"", ""en"")"),"Wuyang County")</f>
        <v>Wuyang County</v>
      </c>
      <c r="G2435" s="1">
        <v>4.11121E11</v>
      </c>
    </row>
    <row r="2436">
      <c r="A2436" s="1" t="s">
        <v>2107</v>
      </c>
      <c r="B2436" s="1" t="str">
        <f>IFERROR(__xludf.DUMMYFUNCTION("GOOGLETRANSLATE(A2362, ""zh-CN"", ""en"")"),"Henan Province")</f>
        <v>Henan Province</v>
      </c>
      <c r="C2436" s="1" t="s">
        <v>2118</v>
      </c>
      <c r="D2436" s="1" t="str">
        <f>IFERROR(__xludf.DUMMYFUNCTION("GOOGLETRANSLATE(C2436, ""zh-CN"", ""en"")"),"Luohe City")</f>
        <v>Luohe City</v>
      </c>
      <c r="E2436" s="1" t="s">
        <v>2236</v>
      </c>
      <c r="F2436" s="1" t="str">
        <f>IFERROR(__xludf.DUMMYFUNCTION("GOOGLETRANSLATE(E2436, ""zh-CN"", ""en"")"),"Lintong County")</f>
        <v>Lintong County</v>
      </c>
      <c r="G2436" s="1">
        <v>4.11122E11</v>
      </c>
    </row>
    <row r="2437">
      <c r="A2437" s="1" t="s">
        <v>2107</v>
      </c>
      <c r="B2437" s="1" t="str">
        <f>IFERROR(__xludf.DUMMYFUNCTION("GOOGLETRANSLATE(A2363, ""zh-CN"", ""en"")"),"Henan Province")</f>
        <v>Henan Province</v>
      </c>
      <c r="C2437" s="1" t="s">
        <v>2118</v>
      </c>
      <c r="D2437" s="1" t="str">
        <f>IFERROR(__xludf.DUMMYFUNCTION("GOOGLETRANSLATE(C2437, ""zh-CN"", ""en"")"),"Luohe City")</f>
        <v>Luohe City</v>
      </c>
      <c r="E2437" s="1" t="s">
        <v>2237</v>
      </c>
      <c r="F2437" s="1" t="str">
        <f>IFERROR(__xludf.DUMMYFUNCTION("GOOGLETRANSLATE(E2437, ""zh-CN"", ""en"")"),"Luohe Economic and Technological Development Zone")</f>
        <v>Luohe Economic and Technological Development Zone</v>
      </c>
      <c r="G2437" s="1">
        <v>4.11171E11</v>
      </c>
    </row>
    <row r="2438">
      <c r="A2438" s="1" t="s">
        <v>2107</v>
      </c>
      <c r="B2438" s="1" t="str">
        <f>IFERROR(__xludf.DUMMYFUNCTION("GOOGLETRANSLATE(A2364, ""zh-CN"", ""en"")"),"Henan Province")</f>
        <v>Henan Province</v>
      </c>
      <c r="C2438" s="1" t="s">
        <v>2119</v>
      </c>
      <c r="D2438" s="1" t="str">
        <f>IFERROR(__xludf.DUMMYFUNCTION("GOOGLETRANSLATE(C2438, ""zh-CN"", ""en"")"),"Sanmenxia City")</f>
        <v>Sanmenxia City</v>
      </c>
      <c r="E2438" s="1" t="s">
        <v>24</v>
      </c>
      <c r="F2438" s="1" t="str">
        <f>IFERROR(__xludf.DUMMYFUNCTION("GOOGLETRANSLATE(E2438, ""zh-CN"", ""en"")"),"City area")</f>
        <v>City area</v>
      </c>
      <c r="G2438" s="1">
        <v>4.11201E11</v>
      </c>
    </row>
    <row r="2439">
      <c r="A2439" s="1" t="s">
        <v>2107</v>
      </c>
      <c r="B2439" s="1" t="str">
        <f>IFERROR(__xludf.DUMMYFUNCTION("GOOGLETRANSLATE(A2365, ""zh-CN"", ""en"")"),"Henan Province")</f>
        <v>Henan Province</v>
      </c>
      <c r="C2439" s="1" t="s">
        <v>2119</v>
      </c>
      <c r="D2439" s="1" t="str">
        <f>IFERROR(__xludf.DUMMYFUNCTION("GOOGLETRANSLATE(C2439, ""zh-CN"", ""en"")"),"Sanmenxia City")</f>
        <v>Sanmenxia City</v>
      </c>
      <c r="E2439" s="1" t="s">
        <v>2238</v>
      </c>
      <c r="F2439" s="1" t="str">
        <f>IFERROR(__xludf.DUMMYFUNCTION("GOOGLETRANSLATE(E2439, ""zh-CN"", ""en"")"),"Lake")</f>
        <v>Lake</v>
      </c>
      <c r="G2439" s="1">
        <v>4.11202E11</v>
      </c>
    </row>
    <row r="2440">
      <c r="A2440" s="1" t="s">
        <v>2107</v>
      </c>
      <c r="B2440" s="1" t="str">
        <f>IFERROR(__xludf.DUMMYFUNCTION("GOOGLETRANSLATE(A2366, ""zh-CN"", ""en"")"),"Henan Province")</f>
        <v>Henan Province</v>
      </c>
      <c r="C2440" s="1" t="s">
        <v>2119</v>
      </c>
      <c r="D2440" s="1" t="str">
        <f>IFERROR(__xludf.DUMMYFUNCTION("GOOGLETRANSLATE(C2440, ""zh-CN"", ""en"")"),"Sanmenxia City")</f>
        <v>Sanmenxia City</v>
      </c>
      <c r="E2440" s="1" t="s">
        <v>2239</v>
      </c>
      <c r="F2440" s="1" t="str">
        <f>IFERROR(__xludf.DUMMYFUNCTION("GOOGLETRANSLATE(E2440, ""zh-CN"", ""en"")"),"Shaanxi")</f>
        <v>Shaanxi</v>
      </c>
      <c r="G2440" s="1">
        <v>4.11203E11</v>
      </c>
    </row>
    <row r="2441">
      <c r="A2441" s="1" t="s">
        <v>2107</v>
      </c>
      <c r="B2441" s="1" t="str">
        <f>IFERROR(__xludf.DUMMYFUNCTION("GOOGLETRANSLATE(A2367, ""zh-CN"", ""en"")"),"Henan Province")</f>
        <v>Henan Province</v>
      </c>
      <c r="C2441" s="1" t="s">
        <v>2119</v>
      </c>
      <c r="D2441" s="1" t="str">
        <f>IFERROR(__xludf.DUMMYFUNCTION("GOOGLETRANSLATE(C2441, ""zh-CN"", ""en"")"),"Sanmenxia City")</f>
        <v>Sanmenxia City</v>
      </c>
      <c r="E2441" s="1" t="s">
        <v>2240</v>
      </c>
      <c r="F2441" s="1" t="str">
        <f>IFERROR(__xludf.DUMMYFUNCTION("GOOGLETRANSLATE(E2441, ""zh-CN"", ""en"")"),"Pochi County")</f>
        <v>Pochi County</v>
      </c>
      <c r="G2441" s="1">
        <v>4.11221E11</v>
      </c>
    </row>
    <row r="2442">
      <c r="A2442" s="1" t="s">
        <v>2107</v>
      </c>
      <c r="B2442" s="1" t="str">
        <f>IFERROR(__xludf.DUMMYFUNCTION("GOOGLETRANSLATE(A2368, ""zh-CN"", ""en"")"),"Henan Province")</f>
        <v>Henan Province</v>
      </c>
      <c r="C2442" s="1" t="s">
        <v>2119</v>
      </c>
      <c r="D2442" s="1" t="str">
        <f>IFERROR(__xludf.DUMMYFUNCTION("GOOGLETRANSLATE(C2442, ""zh-CN"", ""en"")"),"Sanmenxia City")</f>
        <v>Sanmenxia City</v>
      </c>
      <c r="E2442" s="1" t="s">
        <v>2241</v>
      </c>
      <c r="F2442" s="1" t="str">
        <f>IFERROR(__xludf.DUMMYFUNCTION("GOOGLETRANSLATE(E2442, ""zh-CN"", ""en"")"),"Lu's County")</f>
        <v>Lu's County</v>
      </c>
      <c r="G2442" s="1">
        <v>4.11224E11</v>
      </c>
    </row>
    <row r="2443">
      <c r="A2443" s="1" t="s">
        <v>2107</v>
      </c>
      <c r="B2443" s="1" t="str">
        <f>IFERROR(__xludf.DUMMYFUNCTION("GOOGLETRANSLATE(A2369, ""zh-CN"", ""en"")"),"Henan Province")</f>
        <v>Henan Province</v>
      </c>
      <c r="C2443" s="1" t="s">
        <v>2119</v>
      </c>
      <c r="D2443" s="1" t="str">
        <f>IFERROR(__xludf.DUMMYFUNCTION("GOOGLETRANSLATE(C2443, ""zh-CN"", ""en"")"),"Sanmenxia City")</f>
        <v>Sanmenxia City</v>
      </c>
      <c r="E2443" s="1" t="s">
        <v>2242</v>
      </c>
      <c r="F2443" s="1" t="str">
        <f>IFERROR(__xludf.DUMMYFUNCTION("GOOGLETRANSLATE(E2443, ""zh-CN"", ""en"")"),"Henan Sanmenxia Economic Development Zone")</f>
        <v>Henan Sanmenxia Economic Development Zone</v>
      </c>
      <c r="G2443" s="1">
        <v>4.11271E11</v>
      </c>
    </row>
    <row r="2444">
      <c r="A2444" s="1" t="s">
        <v>2107</v>
      </c>
      <c r="B2444" s="1" t="str">
        <f>IFERROR(__xludf.DUMMYFUNCTION("GOOGLETRANSLATE(A2370, ""zh-CN"", ""en"")"),"Henan Province")</f>
        <v>Henan Province</v>
      </c>
      <c r="C2444" s="1" t="s">
        <v>2119</v>
      </c>
      <c r="D2444" s="1" t="str">
        <f>IFERROR(__xludf.DUMMYFUNCTION("GOOGLETRANSLATE(C2444, ""zh-CN"", ""en"")"),"Sanmenxia City")</f>
        <v>Sanmenxia City</v>
      </c>
      <c r="E2444" s="1" t="s">
        <v>2243</v>
      </c>
      <c r="F2444" s="1" t="str">
        <f>IFERROR(__xludf.DUMMYFUNCTION("GOOGLETRANSLATE(E2444, ""zh-CN"", ""en"")"),"Yima City")</f>
        <v>Yima City</v>
      </c>
      <c r="G2444" s="1">
        <v>4.11281E11</v>
      </c>
    </row>
    <row r="2445">
      <c r="A2445" s="1" t="s">
        <v>2107</v>
      </c>
      <c r="B2445" s="1" t="str">
        <f>IFERROR(__xludf.DUMMYFUNCTION("GOOGLETRANSLATE(A2371, ""zh-CN"", ""en"")"),"Henan Province")</f>
        <v>Henan Province</v>
      </c>
      <c r="C2445" s="1" t="s">
        <v>2119</v>
      </c>
      <c r="D2445" s="1" t="str">
        <f>IFERROR(__xludf.DUMMYFUNCTION("GOOGLETRANSLATE(C2445, ""zh-CN"", ""en"")"),"Sanmenxia City")</f>
        <v>Sanmenxia City</v>
      </c>
      <c r="E2445" s="1" t="s">
        <v>2244</v>
      </c>
      <c r="F2445" s="1" t="str">
        <f>IFERROR(__xludf.DUMMYFUNCTION("GOOGLETRANSLATE(E2445, ""zh-CN"", ""en"")"),"Lingbao City")</f>
        <v>Lingbao City</v>
      </c>
      <c r="G2445" s="1">
        <v>4.11282E11</v>
      </c>
    </row>
    <row r="2446">
      <c r="A2446" s="1" t="s">
        <v>2107</v>
      </c>
      <c r="B2446" s="1" t="str">
        <f>IFERROR(__xludf.DUMMYFUNCTION("GOOGLETRANSLATE(A2372, ""zh-CN"", ""en"")"),"Henan Province")</f>
        <v>Henan Province</v>
      </c>
      <c r="C2446" s="1" t="s">
        <v>2120</v>
      </c>
      <c r="D2446" s="1" t="str">
        <f>IFERROR(__xludf.DUMMYFUNCTION("GOOGLETRANSLATE(C2446, ""zh-CN"", ""en"")"),"Nanyang City")</f>
        <v>Nanyang City</v>
      </c>
      <c r="E2446" s="1" t="s">
        <v>24</v>
      </c>
      <c r="F2446" s="1" t="str">
        <f>IFERROR(__xludf.DUMMYFUNCTION("GOOGLETRANSLATE(E2446, ""zh-CN"", ""en"")"),"City area")</f>
        <v>City area</v>
      </c>
      <c r="G2446" s="1">
        <v>4.11301E11</v>
      </c>
    </row>
    <row r="2447">
      <c r="A2447" s="1" t="s">
        <v>2107</v>
      </c>
      <c r="B2447" s="1" t="str">
        <f>IFERROR(__xludf.DUMMYFUNCTION("GOOGLETRANSLATE(A2373, ""zh-CN"", ""en"")"),"Henan Province")</f>
        <v>Henan Province</v>
      </c>
      <c r="C2447" s="1" t="s">
        <v>2120</v>
      </c>
      <c r="D2447" s="1" t="str">
        <f>IFERROR(__xludf.DUMMYFUNCTION("GOOGLETRANSLATE(C2447, ""zh-CN"", ""en"")"),"Nanyang City")</f>
        <v>Nanyang City</v>
      </c>
      <c r="E2447" s="1" t="s">
        <v>2245</v>
      </c>
      <c r="F2447" s="1" t="str">
        <f>IFERROR(__xludf.DUMMYFUNCTION("GOOGLETRANSLATE(E2447, ""zh-CN"", ""en"")"),"Wancheng District")</f>
        <v>Wancheng District</v>
      </c>
      <c r="G2447" s="1">
        <v>4.11302E11</v>
      </c>
    </row>
    <row r="2448">
      <c r="A2448" s="1" t="s">
        <v>2107</v>
      </c>
      <c r="B2448" s="1" t="str">
        <f>IFERROR(__xludf.DUMMYFUNCTION("GOOGLETRANSLATE(A2374, ""zh-CN"", ""en"")"),"Henan Province")</f>
        <v>Henan Province</v>
      </c>
      <c r="C2448" s="1" t="s">
        <v>2120</v>
      </c>
      <c r="D2448" s="1" t="str">
        <f>IFERROR(__xludf.DUMMYFUNCTION("GOOGLETRANSLATE(C2448, ""zh-CN"", ""en"")"),"Nanyang City")</f>
        <v>Nanyang City</v>
      </c>
      <c r="E2448" s="1" t="s">
        <v>2246</v>
      </c>
      <c r="F2448" s="1" t="str">
        <f>IFERROR(__xludf.DUMMYFUNCTION("GOOGLETRANSLATE(E2448, ""zh-CN"", ""en"")"),"Wolong District")</f>
        <v>Wolong District</v>
      </c>
      <c r="G2448" s="1">
        <v>4.11303E11</v>
      </c>
    </row>
    <row r="2449">
      <c r="A2449" s="1" t="s">
        <v>2107</v>
      </c>
      <c r="B2449" s="1" t="str">
        <f>IFERROR(__xludf.DUMMYFUNCTION("GOOGLETRANSLATE(A2375, ""zh-CN"", ""en"")"),"Henan Province")</f>
        <v>Henan Province</v>
      </c>
      <c r="C2449" s="1" t="s">
        <v>2120</v>
      </c>
      <c r="D2449" s="1" t="str">
        <f>IFERROR(__xludf.DUMMYFUNCTION("GOOGLETRANSLATE(C2449, ""zh-CN"", ""en"")"),"Nanyang City")</f>
        <v>Nanyang City</v>
      </c>
      <c r="E2449" s="1" t="s">
        <v>2247</v>
      </c>
      <c r="F2449" s="1" t="str">
        <f>IFERROR(__xludf.DUMMYFUNCTION("GOOGLETRANSLATE(E2449, ""zh-CN"", ""en"")"),"Nanzhao County")</f>
        <v>Nanzhao County</v>
      </c>
      <c r="G2449" s="1">
        <v>4.11321E11</v>
      </c>
    </row>
    <row r="2450">
      <c r="A2450" s="1" t="s">
        <v>2107</v>
      </c>
      <c r="B2450" s="1" t="str">
        <f>IFERROR(__xludf.DUMMYFUNCTION("GOOGLETRANSLATE(A2376, ""zh-CN"", ""en"")"),"Henan Province")</f>
        <v>Henan Province</v>
      </c>
      <c r="C2450" s="1" t="s">
        <v>2120</v>
      </c>
      <c r="D2450" s="1" t="str">
        <f>IFERROR(__xludf.DUMMYFUNCTION("GOOGLETRANSLATE(C2450, ""zh-CN"", ""en"")"),"Nanyang City")</f>
        <v>Nanyang City</v>
      </c>
      <c r="E2450" s="1" t="s">
        <v>2248</v>
      </c>
      <c r="F2450" s="1" t="str">
        <f>IFERROR(__xludf.DUMMYFUNCTION("GOOGLETRANSLATE(E2450, ""zh-CN"", ""en"")"),"Fangcheng County")</f>
        <v>Fangcheng County</v>
      </c>
      <c r="G2450" s="1">
        <v>4.11322E11</v>
      </c>
    </row>
    <row r="2451">
      <c r="A2451" s="1" t="s">
        <v>2107</v>
      </c>
      <c r="B2451" s="1" t="str">
        <f>IFERROR(__xludf.DUMMYFUNCTION("GOOGLETRANSLATE(A2377, ""zh-CN"", ""en"")"),"Henan Province")</f>
        <v>Henan Province</v>
      </c>
      <c r="C2451" s="1" t="s">
        <v>2120</v>
      </c>
      <c r="D2451" s="1" t="str">
        <f>IFERROR(__xludf.DUMMYFUNCTION("GOOGLETRANSLATE(C2451, ""zh-CN"", ""en"")"),"Nanyang City")</f>
        <v>Nanyang City</v>
      </c>
      <c r="E2451" s="1" t="s">
        <v>2249</v>
      </c>
      <c r="F2451" s="1" t="str">
        <f>IFERROR(__xludf.DUMMYFUNCTION("GOOGLETRANSLATE(E2451, ""zh-CN"", ""en"")"),"Xixia County")</f>
        <v>Xixia County</v>
      </c>
      <c r="G2451" s="1">
        <v>4.11323E11</v>
      </c>
    </row>
    <row r="2452">
      <c r="A2452" s="1" t="s">
        <v>2107</v>
      </c>
      <c r="B2452" s="1" t="str">
        <f>IFERROR(__xludf.DUMMYFUNCTION("GOOGLETRANSLATE(A2378, ""zh-CN"", ""en"")"),"Henan Province")</f>
        <v>Henan Province</v>
      </c>
      <c r="C2452" s="1" t="s">
        <v>2120</v>
      </c>
      <c r="D2452" s="1" t="str">
        <f>IFERROR(__xludf.DUMMYFUNCTION("GOOGLETRANSLATE(C2452, ""zh-CN"", ""en"")"),"Nanyang City")</f>
        <v>Nanyang City</v>
      </c>
      <c r="E2452" s="1" t="s">
        <v>2250</v>
      </c>
      <c r="F2452" s="1" t="str">
        <f>IFERROR(__xludf.DUMMYFUNCTION("GOOGLETRANSLATE(E2452, ""zh-CN"", ""en"")"),"Zhenping County")</f>
        <v>Zhenping County</v>
      </c>
      <c r="G2452" s="1">
        <v>4.11324E11</v>
      </c>
    </row>
    <row r="2453">
      <c r="A2453" s="1" t="s">
        <v>2107</v>
      </c>
      <c r="B2453" s="1" t="str">
        <f>IFERROR(__xludf.DUMMYFUNCTION("GOOGLETRANSLATE(A2379, ""zh-CN"", ""en"")"),"Henan Province")</f>
        <v>Henan Province</v>
      </c>
      <c r="C2453" s="1" t="s">
        <v>2120</v>
      </c>
      <c r="D2453" s="1" t="str">
        <f>IFERROR(__xludf.DUMMYFUNCTION("GOOGLETRANSLATE(C2453, ""zh-CN"", ""en"")"),"Nanyang City")</f>
        <v>Nanyang City</v>
      </c>
      <c r="E2453" s="1" t="s">
        <v>2251</v>
      </c>
      <c r="F2453" s="1" t="str">
        <f>IFERROR(__xludf.DUMMYFUNCTION("GOOGLETRANSLATE(E2453, ""zh-CN"", ""en"")"),"Nengxiang County")</f>
        <v>Nengxiang County</v>
      </c>
      <c r="G2453" s="1">
        <v>4.11325E11</v>
      </c>
    </row>
    <row r="2454">
      <c r="A2454" s="1" t="s">
        <v>2107</v>
      </c>
      <c r="B2454" s="1" t="str">
        <f>IFERROR(__xludf.DUMMYFUNCTION("GOOGLETRANSLATE(A2380, ""zh-CN"", ""en"")"),"Henan Province")</f>
        <v>Henan Province</v>
      </c>
      <c r="C2454" s="1" t="s">
        <v>2120</v>
      </c>
      <c r="D2454" s="1" t="str">
        <f>IFERROR(__xludf.DUMMYFUNCTION("GOOGLETRANSLATE(C2454, ""zh-CN"", ""en"")"),"Nanyang City")</f>
        <v>Nanyang City</v>
      </c>
      <c r="E2454" s="1" t="s">
        <v>2252</v>
      </c>
      <c r="F2454" s="1" t="str">
        <f>IFERROR(__xludf.DUMMYFUNCTION("GOOGLETRANSLATE(E2454, ""zh-CN"", ""en"")"),"Xichuan County")</f>
        <v>Xichuan County</v>
      </c>
      <c r="G2454" s="1">
        <v>4.11326E11</v>
      </c>
    </row>
    <row r="2455">
      <c r="A2455" s="1" t="s">
        <v>2107</v>
      </c>
      <c r="B2455" s="1" t="str">
        <f>IFERROR(__xludf.DUMMYFUNCTION("GOOGLETRANSLATE(A2381, ""zh-CN"", ""en"")"),"Henan Province")</f>
        <v>Henan Province</v>
      </c>
      <c r="C2455" s="1" t="s">
        <v>2120</v>
      </c>
      <c r="D2455" s="1" t="str">
        <f>IFERROR(__xludf.DUMMYFUNCTION("GOOGLETRANSLATE(C2455, ""zh-CN"", ""en"")"),"Nanyang City")</f>
        <v>Nanyang City</v>
      </c>
      <c r="E2455" s="1" t="s">
        <v>2253</v>
      </c>
      <c r="F2455" s="1" t="str">
        <f>IFERROR(__xludf.DUMMYFUNCTION("GOOGLETRANSLATE(E2455, ""zh-CN"", ""en"")"),"Sheqi County")</f>
        <v>Sheqi County</v>
      </c>
      <c r="G2455" s="1">
        <v>4.11327E11</v>
      </c>
    </row>
    <row r="2456">
      <c r="A2456" s="1" t="s">
        <v>2107</v>
      </c>
      <c r="B2456" s="1" t="str">
        <f>IFERROR(__xludf.DUMMYFUNCTION("GOOGLETRANSLATE(A2382, ""zh-CN"", ""en"")"),"Henan Province")</f>
        <v>Henan Province</v>
      </c>
      <c r="C2456" s="1" t="s">
        <v>2120</v>
      </c>
      <c r="D2456" s="1" t="str">
        <f>IFERROR(__xludf.DUMMYFUNCTION("GOOGLETRANSLATE(C2456, ""zh-CN"", ""en"")"),"Nanyang City")</f>
        <v>Nanyang City</v>
      </c>
      <c r="E2456" s="1" t="s">
        <v>2254</v>
      </c>
      <c r="F2456" s="1" t="str">
        <f>IFERROR(__xludf.DUMMYFUNCTION("GOOGLETRANSLATE(E2456, ""zh-CN"", ""en"")"),"Tanghe County")</f>
        <v>Tanghe County</v>
      </c>
      <c r="G2456" s="1">
        <v>4.11328E11</v>
      </c>
    </row>
    <row r="2457">
      <c r="A2457" s="1" t="s">
        <v>2107</v>
      </c>
      <c r="B2457" s="1" t="str">
        <f>IFERROR(__xludf.DUMMYFUNCTION("GOOGLETRANSLATE(A2383, ""zh-CN"", ""en"")"),"Henan Province")</f>
        <v>Henan Province</v>
      </c>
      <c r="C2457" s="1" t="s">
        <v>2120</v>
      </c>
      <c r="D2457" s="1" t="str">
        <f>IFERROR(__xludf.DUMMYFUNCTION("GOOGLETRANSLATE(C2457, ""zh-CN"", ""en"")"),"Nanyang City")</f>
        <v>Nanyang City</v>
      </c>
      <c r="E2457" s="1" t="s">
        <v>2255</v>
      </c>
      <c r="F2457" s="1" t="str">
        <f>IFERROR(__xludf.DUMMYFUNCTION("GOOGLETRANSLATE(E2457, ""zh-CN"", ""en"")"),"Xinye County")</f>
        <v>Xinye County</v>
      </c>
      <c r="G2457" s="1">
        <v>4.11329E11</v>
      </c>
    </row>
    <row r="2458">
      <c r="A2458" s="1" t="s">
        <v>2107</v>
      </c>
      <c r="B2458" s="1" t="str">
        <f>IFERROR(__xludf.DUMMYFUNCTION("GOOGLETRANSLATE(A2384, ""zh-CN"", ""en"")"),"Henan Province")</f>
        <v>Henan Province</v>
      </c>
      <c r="C2458" s="1" t="s">
        <v>2120</v>
      </c>
      <c r="D2458" s="1" t="str">
        <f>IFERROR(__xludf.DUMMYFUNCTION("GOOGLETRANSLATE(C2458, ""zh-CN"", ""en"")"),"Nanyang City")</f>
        <v>Nanyang City</v>
      </c>
      <c r="E2458" s="1" t="s">
        <v>2256</v>
      </c>
      <c r="F2458" s="1" t="str">
        <f>IFERROR(__xludf.DUMMYFUNCTION("GOOGLETRANSLATE(E2458, ""zh-CN"", ""en"")"),"Tongbai County")</f>
        <v>Tongbai County</v>
      </c>
      <c r="G2458" s="1">
        <v>4.1133E11</v>
      </c>
    </row>
    <row r="2459">
      <c r="A2459" s="1" t="s">
        <v>2107</v>
      </c>
      <c r="B2459" s="1" t="str">
        <f>IFERROR(__xludf.DUMMYFUNCTION("GOOGLETRANSLATE(A2385, ""zh-CN"", ""en"")"),"Henan Province")</f>
        <v>Henan Province</v>
      </c>
      <c r="C2459" s="1" t="s">
        <v>2120</v>
      </c>
      <c r="D2459" s="1" t="str">
        <f>IFERROR(__xludf.DUMMYFUNCTION("GOOGLETRANSLATE(C2459, ""zh-CN"", ""en"")"),"Nanyang City")</f>
        <v>Nanyang City</v>
      </c>
      <c r="E2459" s="1" t="s">
        <v>2257</v>
      </c>
      <c r="F2459" s="1" t="str">
        <f>IFERROR(__xludf.DUMMYFUNCTION("GOOGLETRANSLATE(E2459, ""zh-CN"", ""en"")"),"Nanyang High -tech Industrial Development Zone")</f>
        <v>Nanyang High -tech Industrial Development Zone</v>
      </c>
      <c r="G2459" s="1">
        <v>4.11371E11</v>
      </c>
    </row>
    <row r="2460">
      <c r="A2460" s="1" t="s">
        <v>2107</v>
      </c>
      <c r="B2460" s="1" t="str">
        <f>IFERROR(__xludf.DUMMYFUNCTION("GOOGLETRANSLATE(A2386, ""zh-CN"", ""en"")"),"Henan Province")</f>
        <v>Henan Province</v>
      </c>
      <c r="C2460" s="1" t="s">
        <v>2120</v>
      </c>
      <c r="D2460" s="1" t="str">
        <f>IFERROR(__xludf.DUMMYFUNCTION("GOOGLETRANSLATE(C2460, ""zh-CN"", ""en"")"),"Nanyang City")</f>
        <v>Nanyang City</v>
      </c>
      <c r="E2460" s="1" t="s">
        <v>2258</v>
      </c>
      <c r="F2460" s="1" t="str">
        <f>IFERROR(__xludf.DUMMYFUNCTION("GOOGLETRANSLATE(E2460, ""zh-CN"", ""en"")"),"Nanyang Urban and Rural Integrated Demonstration Zone")</f>
        <v>Nanyang Urban and Rural Integrated Demonstration Zone</v>
      </c>
      <c r="G2460" s="1">
        <v>4.11372E11</v>
      </c>
    </row>
    <row r="2461">
      <c r="A2461" s="1" t="s">
        <v>2107</v>
      </c>
      <c r="B2461" s="1" t="str">
        <f>IFERROR(__xludf.DUMMYFUNCTION("GOOGLETRANSLATE(A2387, ""zh-CN"", ""en"")"),"Henan Province")</f>
        <v>Henan Province</v>
      </c>
      <c r="C2461" s="1" t="s">
        <v>2120</v>
      </c>
      <c r="D2461" s="1" t="str">
        <f>IFERROR(__xludf.DUMMYFUNCTION("GOOGLETRANSLATE(C2461, ""zh-CN"", ""en"")"),"Nanyang City")</f>
        <v>Nanyang City</v>
      </c>
      <c r="E2461" s="1" t="s">
        <v>2259</v>
      </c>
      <c r="F2461" s="1" t="str">
        <f>IFERROR(__xludf.DUMMYFUNCTION("GOOGLETRANSLATE(E2461, ""zh-CN"", ""en"")"),"Dengzhou")</f>
        <v>Dengzhou</v>
      </c>
      <c r="G2461" s="1">
        <v>4.11381E11</v>
      </c>
    </row>
    <row r="2462">
      <c r="A2462" s="1" t="s">
        <v>2107</v>
      </c>
      <c r="B2462" s="1" t="str">
        <f>IFERROR(__xludf.DUMMYFUNCTION("GOOGLETRANSLATE(A2388, ""zh-CN"", ""en"")"),"Henan Province")</f>
        <v>Henan Province</v>
      </c>
      <c r="C2462" s="1" t="s">
        <v>2121</v>
      </c>
      <c r="D2462" s="1" t="str">
        <f>IFERROR(__xludf.DUMMYFUNCTION("GOOGLETRANSLATE(C2462, ""zh-CN"", ""en"")"),"Shangqiu City")</f>
        <v>Shangqiu City</v>
      </c>
      <c r="E2462" s="1" t="s">
        <v>24</v>
      </c>
      <c r="F2462" s="1" t="str">
        <f>IFERROR(__xludf.DUMMYFUNCTION("GOOGLETRANSLATE(E2462, ""zh-CN"", ""en"")"),"City area")</f>
        <v>City area</v>
      </c>
      <c r="G2462" s="1">
        <v>4.11401E11</v>
      </c>
    </row>
    <row r="2463">
      <c r="A2463" s="1" t="s">
        <v>2107</v>
      </c>
      <c r="B2463" s="1" t="str">
        <f>IFERROR(__xludf.DUMMYFUNCTION("GOOGLETRANSLATE(A2389, ""zh-CN"", ""en"")"),"Henan Province")</f>
        <v>Henan Province</v>
      </c>
      <c r="C2463" s="1" t="s">
        <v>2121</v>
      </c>
      <c r="D2463" s="1" t="str">
        <f>IFERROR(__xludf.DUMMYFUNCTION("GOOGLETRANSLATE(C2463, ""zh-CN"", ""en"")"),"Shangqiu City")</f>
        <v>Shangqiu City</v>
      </c>
      <c r="E2463" s="1" t="s">
        <v>2260</v>
      </c>
      <c r="F2463" s="1" t="str">
        <f>IFERROR(__xludf.DUMMYFUNCTION("GOOGLETRANSLATE(E2463, ""zh-CN"", ""en"")"),"Liangyuan")</f>
        <v>Liangyuan</v>
      </c>
      <c r="G2463" s="1">
        <v>4.11402E11</v>
      </c>
    </row>
    <row r="2464">
      <c r="A2464" s="1" t="s">
        <v>2107</v>
      </c>
      <c r="B2464" s="1" t="str">
        <f>IFERROR(__xludf.DUMMYFUNCTION("GOOGLETRANSLATE(A2390, ""zh-CN"", ""en"")"),"Henan Province")</f>
        <v>Henan Province</v>
      </c>
      <c r="C2464" s="1" t="s">
        <v>2121</v>
      </c>
      <c r="D2464" s="1" t="str">
        <f>IFERROR(__xludf.DUMMYFUNCTION("GOOGLETRANSLATE(C2464, ""zh-CN"", ""en"")"),"Shangqiu City")</f>
        <v>Shangqiu City</v>
      </c>
      <c r="E2464" s="1" t="s">
        <v>2261</v>
      </c>
      <c r="F2464" s="1" t="str">
        <f>IFERROR(__xludf.DUMMYFUNCTION("GOOGLETRANSLATE(E2464, ""zh-CN"", ""en"")"),"Puyang District")</f>
        <v>Puyang District</v>
      </c>
      <c r="G2464" s="1">
        <v>4.11403E11</v>
      </c>
    </row>
    <row r="2465">
      <c r="A2465" s="1" t="s">
        <v>2107</v>
      </c>
      <c r="B2465" s="1" t="str">
        <f>IFERROR(__xludf.DUMMYFUNCTION("GOOGLETRANSLATE(A2391, ""zh-CN"", ""en"")"),"Henan Province")</f>
        <v>Henan Province</v>
      </c>
      <c r="C2465" s="1" t="s">
        <v>2121</v>
      </c>
      <c r="D2465" s="1" t="str">
        <f>IFERROR(__xludf.DUMMYFUNCTION("GOOGLETRANSLATE(C2465, ""zh-CN"", ""en"")"),"Shangqiu City")</f>
        <v>Shangqiu City</v>
      </c>
      <c r="E2465" s="1" t="s">
        <v>2262</v>
      </c>
      <c r="F2465" s="1" t="str">
        <f>IFERROR(__xludf.DUMMYFUNCTION("GOOGLETRANSLATE(E2465, ""zh-CN"", ""en"")"),"Civil rights county")</f>
        <v>Civil rights county</v>
      </c>
      <c r="G2465" s="1">
        <v>4.11421E11</v>
      </c>
    </row>
    <row r="2466">
      <c r="A2466" s="1" t="s">
        <v>2107</v>
      </c>
      <c r="B2466" s="1" t="str">
        <f>IFERROR(__xludf.DUMMYFUNCTION("GOOGLETRANSLATE(A2392, ""zh-CN"", ""en"")"),"Henan Province")</f>
        <v>Henan Province</v>
      </c>
      <c r="C2466" s="1" t="s">
        <v>2121</v>
      </c>
      <c r="D2466" s="1" t="str">
        <f>IFERROR(__xludf.DUMMYFUNCTION("GOOGLETRANSLATE(C2466, ""zh-CN"", ""en"")"),"Shangqiu City")</f>
        <v>Shangqiu City</v>
      </c>
      <c r="E2466" s="1" t="s">
        <v>2263</v>
      </c>
      <c r="F2466" s="1" t="str">
        <f>IFERROR(__xludf.DUMMYFUNCTION("GOOGLETRANSLATE(E2466, ""zh-CN"", ""en"")"),"Suixian County")</f>
        <v>Suixian County</v>
      </c>
      <c r="G2466" s="1">
        <v>4.11422E11</v>
      </c>
    </row>
    <row r="2467">
      <c r="A2467" s="1" t="s">
        <v>2107</v>
      </c>
      <c r="B2467" s="1" t="str">
        <f>IFERROR(__xludf.DUMMYFUNCTION("GOOGLETRANSLATE(A2393, ""zh-CN"", ""en"")"),"Henan Province")</f>
        <v>Henan Province</v>
      </c>
      <c r="C2467" s="1" t="s">
        <v>2121</v>
      </c>
      <c r="D2467" s="1" t="str">
        <f>IFERROR(__xludf.DUMMYFUNCTION("GOOGLETRANSLATE(C2467, ""zh-CN"", ""en"")"),"Shangqiu City")</f>
        <v>Shangqiu City</v>
      </c>
      <c r="E2467" s="1" t="s">
        <v>2264</v>
      </c>
      <c r="F2467" s="1" t="str">
        <f>IFERROR(__xludf.DUMMYFUNCTION("GOOGLETRANSLATE(E2467, ""zh-CN"", ""en"")"),"Ningling County")</f>
        <v>Ningling County</v>
      </c>
      <c r="G2467" s="1">
        <v>4.11423E11</v>
      </c>
    </row>
    <row r="2468">
      <c r="A2468" s="1" t="s">
        <v>2107</v>
      </c>
      <c r="B2468" s="1" t="str">
        <f>IFERROR(__xludf.DUMMYFUNCTION("GOOGLETRANSLATE(A2394, ""zh-CN"", ""en"")"),"Henan Province")</f>
        <v>Henan Province</v>
      </c>
      <c r="C2468" s="1" t="s">
        <v>2121</v>
      </c>
      <c r="D2468" s="1" t="str">
        <f>IFERROR(__xludf.DUMMYFUNCTION("GOOGLETRANSLATE(C2468, ""zh-CN"", ""en"")"),"Shangqiu City")</f>
        <v>Shangqiu City</v>
      </c>
      <c r="E2468" s="1" t="s">
        <v>2265</v>
      </c>
      <c r="F2468" s="1" t="str">
        <f>IFERROR(__xludf.DUMMYFUNCTION("GOOGLETRANSLATE(E2468, ""zh-CN"", ""en"")"),"Tancheng County")</f>
        <v>Tancheng County</v>
      </c>
      <c r="G2468" s="1">
        <v>4.11424E11</v>
      </c>
    </row>
    <row r="2469">
      <c r="A2469" s="1" t="s">
        <v>2107</v>
      </c>
      <c r="B2469" s="1" t="str">
        <f>IFERROR(__xludf.DUMMYFUNCTION("GOOGLETRANSLATE(A2395, ""zh-CN"", ""en"")"),"Henan Province")</f>
        <v>Henan Province</v>
      </c>
      <c r="C2469" s="1" t="s">
        <v>2121</v>
      </c>
      <c r="D2469" s="1" t="str">
        <f>IFERROR(__xludf.DUMMYFUNCTION("GOOGLETRANSLATE(C2469, ""zh-CN"", ""en"")"),"Shangqiu City")</f>
        <v>Shangqiu City</v>
      </c>
      <c r="E2469" s="1" t="s">
        <v>2266</v>
      </c>
      <c r="F2469" s="1" t="str">
        <f>IFERROR(__xludf.DUMMYFUNCTION("GOOGLETRANSLATE(E2469, ""zh-CN"", ""en"")"),"Yucheng County")</f>
        <v>Yucheng County</v>
      </c>
      <c r="G2469" s="1">
        <v>4.11425E11</v>
      </c>
    </row>
    <row r="2470">
      <c r="A2470" s="1" t="s">
        <v>2107</v>
      </c>
      <c r="B2470" s="1" t="str">
        <f>IFERROR(__xludf.DUMMYFUNCTION("GOOGLETRANSLATE(A2396, ""zh-CN"", ""en"")"),"Henan Province")</f>
        <v>Henan Province</v>
      </c>
      <c r="C2470" s="1" t="s">
        <v>2121</v>
      </c>
      <c r="D2470" s="1" t="str">
        <f>IFERROR(__xludf.DUMMYFUNCTION("GOOGLETRANSLATE(C2470, ""zh-CN"", ""en"")"),"Shangqiu City")</f>
        <v>Shangqiu City</v>
      </c>
      <c r="E2470" s="1" t="s">
        <v>2267</v>
      </c>
      <c r="F2470" s="1" t="str">
        <f>IFERROR(__xludf.DUMMYFUNCTION("GOOGLETRANSLATE(E2470, ""zh-CN"", ""en"")"),"Xiayi County")</f>
        <v>Xiayi County</v>
      </c>
      <c r="G2470" s="1">
        <v>4.11426E11</v>
      </c>
    </row>
    <row r="2471">
      <c r="A2471" s="1" t="s">
        <v>2107</v>
      </c>
      <c r="B2471" s="1" t="str">
        <f>IFERROR(__xludf.DUMMYFUNCTION("GOOGLETRANSLATE(A2397, ""zh-CN"", ""en"")"),"Henan Province")</f>
        <v>Henan Province</v>
      </c>
      <c r="C2471" s="1" t="s">
        <v>2121</v>
      </c>
      <c r="D2471" s="1" t="str">
        <f>IFERROR(__xludf.DUMMYFUNCTION("GOOGLETRANSLATE(C2471, ""zh-CN"", ""en"")"),"Shangqiu City")</f>
        <v>Shangqiu City</v>
      </c>
      <c r="E2471" s="1" t="s">
        <v>2268</v>
      </c>
      <c r="F2471" s="1" t="str">
        <f>IFERROR(__xludf.DUMMYFUNCTION("GOOGLETRANSLATE(E2471, ""zh-CN"", ""en"")"),"East Henan Comprehensive Logistics Industry Gathering Area")</f>
        <v>East Henan Comprehensive Logistics Industry Gathering Area</v>
      </c>
      <c r="G2471" s="1">
        <v>4.11471E11</v>
      </c>
    </row>
    <row r="2472">
      <c r="A2472" s="1" t="s">
        <v>2107</v>
      </c>
      <c r="B2472" s="1" t="str">
        <f>IFERROR(__xludf.DUMMYFUNCTION("GOOGLETRANSLATE(A2398, ""zh-CN"", ""en"")"),"Henan Province")</f>
        <v>Henan Province</v>
      </c>
      <c r="C2472" s="1" t="s">
        <v>2121</v>
      </c>
      <c r="D2472" s="1" t="str">
        <f>IFERROR(__xludf.DUMMYFUNCTION("GOOGLETRANSLATE(C2472, ""zh-CN"", ""en"")"),"Shangqiu City")</f>
        <v>Shangqiu City</v>
      </c>
      <c r="E2472" s="1" t="s">
        <v>2269</v>
      </c>
      <c r="F2472" s="1" t="str">
        <f>IFERROR(__xludf.DUMMYFUNCTION("GOOGLETRANSLATE(E2472, ""zh-CN"", ""en"")"),"Henan Shangqiu Economic Development Zone")</f>
        <v>Henan Shangqiu Economic Development Zone</v>
      </c>
      <c r="G2472" s="1">
        <v>4.11472E11</v>
      </c>
    </row>
    <row r="2473">
      <c r="A2473" s="1" t="s">
        <v>2107</v>
      </c>
      <c r="B2473" s="1" t="str">
        <f>IFERROR(__xludf.DUMMYFUNCTION("GOOGLETRANSLATE(A2399, ""zh-CN"", ""en"")"),"Henan Province")</f>
        <v>Henan Province</v>
      </c>
      <c r="C2473" s="1" t="s">
        <v>2121</v>
      </c>
      <c r="D2473" s="1" t="str">
        <f>IFERROR(__xludf.DUMMYFUNCTION("GOOGLETRANSLATE(C2473, ""zh-CN"", ""en"")"),"Shangqiu City")</f>
        <v>Shangqiu City</v>
      </c>
      <c r="E2473" s="1" t="s">
        <v>2270</v>
      </c>
      <c r="F2473" s="1" t="str">
        <f>IFERROR(__xludf.DUMMYFUNCTION("GOOGLETRANSLATE(E2473, ""zh-CN"", ""en"")"),"Permanent city")</f>
        <v>Permanent city</v>
      </c>
      <c r="G2473" s="1">
        <v>4.11481E11</v>
      </c>
    </row>
    <row r="2474">
      <c r="A2474" s="1" t="s">
        <v>2107</v>
      </c>
      <c r="B2474" s="1" t="str">
        <f>IFERROR(__xludf.DUMMYFUNCTION("GOOGLETRANSLATE(A2400, ""zh-CN"", ""en"")"),"Henan Province")</f>
        <v>Henan Province</v>
      </c>
      <c r="C2474" s="1" t="s">
        <v>2122</v>
      </c>
      <c r="D2474" s="1" t="str">
        <f>IFERROR(__xludf.DUMMYFUNCTION("GOOGLETRANSLATE(C2474, ""zh-CN"", ""en"")"),"Xinyang City")</f>
        <v>Xinyang City</v>
      </c>
      <c r="E2474" s="1" t="s">
        <v>24</v>
      </c>
      <c r="F2474" s="1" t="str">
        <f>IFERROR(__xludf.DUMMYFUNCTION("GOOGLETRANSLATE(E2474, ""zh-CN"", ""en"")"),"City area")</f>
        <v>City area</v>
      </c>
      <c r="G2474" s="1">
        <v>4.11501E11</v>
      </c>
    </row>
    <row r="2475">
      <c r="A2475" s="1" t="s">
        <v>2107</v>
      </c>
      <c r="B2475" s="1" t="str">
        <f>IFERROR(__xludf.DUMMYFUNCTION("GOOGLETRANSLATE(A2401, ""zh-CN"", ""en"")"),"Henan Province")</f>
        <v>Henan Province</v>
      </c>
      <c r="C2475" s="1" t="s">
        <v>2122</v>
      </c>
      <c r="D2475" s="1" t="str">
        <f>IFERROR(__xludf.DUMMYFUNCTION("GOOGLETRANSLATE(C2475, ""zh-CN"", ""en"")"),"Xinyang City")</f>
        <v>Xinyang City</v>
      </c>
      <c r="E2475" s="1" t="s">
        <v>2271</v>
      </c>
      <c r="F2475" s="1" t="str">
        <f>IFERROR(__xludf.DUMMYFUNCTION("GOOGLETRANSLATE(E2475, ""zh-CN"", ""en"")"),"Luohe District")</f>
        <v>Luohe District</v>
      </c>
      <c r="G2475" s="1">
        <v>4.11502E11</v>
      </c>
    </row>
    <row r="2476">
      <c r="A2476" s="1" t="s">
        <v>2107</v>
      </c>
      <c r="B2476" s="1" t="str">
        <f>IFERROR(__xludf.DUMMYFUNCTION("GOOGLETRANSLATE(A2402, ""zh-CN"", ""en"")"),"Henan Province")</f>
        <v>Henan Province</v>
      </c>
      <c r="C2476" s="1" t="s">
        <v>2122</v>
      </c>
      <c r="D2476" s="1" t="str">
        <f>IFERROR(__xludf.DUMMYFUNCTION("GOOGLETRANSLATE(C2476, ""zh-CN"", ""en"")"),"Xinyang City")</f>
        <v>Xinyang City</v>
      </c>
      <c r="E2476" s="1" t="s">
        <v>2272</v>
      </c>
      <c r="F2476" s="1" t="str">
        <f>IFERROR(__xludf.DUMMYFUNCTION("GOOGLETRANSLATE(E2476, ""zh-CN"", ""en"")"),"Pingqiao District")</f>
        <v>Pingqiao District</v>
      </c>
      <c r="G2476" s="1">
        <v>4.11503E11</v>
      </c>
    </row>
    <row r="2477">
      <c r="A2477" s="1" t="s">
        <v>2107</v>
      </c>
      <c r="B2477" s="1" t="str">
        <f>IFERROR(__xludf.DUMMYFUNCTION("GOOGLETRANSLATE(A2403, ""zh-CN"", ""en"")"),"Henan Province")</f>
        <v>Henan Province</v>
      </c>
      <c r="C2477" s="1" t="s">
        <v>2122</v>
      </c>
      <c r="D2477" s="1" t="str">
        <f>IFERROR(__xludf.DUMMYFUNCTION("GOOGLETRANSLATE(C2477, ""zh-CN"", ""en"")"),"Xinyang City")</f>
        <v>Xinyang City</v>
      </c>
      <c r="E2477" s="1" t="s">
        <v>2273</v>
      </c>
      <c r="F2477" s="1" t="str">
        <f>IFERROR(__xludf.DUMMYFUNCTION("GOOGLETRANSLATE(E2477, ""zh-CN"", ""en"")"),"Luoshan County")</f>
        <v>Luoshan County</v>
      </c>
      <c r="G2477" s="1">
        <v>4.11521E11</v>
      </c>
    </row>
    <row r="2478">
      <c r="A2478" s="1" t="s">
        <v>2107</v>
      </c>
      <c r="B2478" s="1" t="str">
        <f>IFERROR(__xludf.DUMMYFUNCTION("GOOGLETRANSLATE(A2404, ""zh-CN"", ""en"")"),"Henan Province")</f>
        <v>Henan Province</v>
      </c>
      <c r="C2478" s="1" t="s">
        <v>2122</v>
      </c>
      <c r="D2478" s="1" t="str">
        <f>IFERROR(__xludf.DUMMYFUNCTION("GOOGLETRANSLATE(C2478, ""zh-CN"", ""en"")"),"Xinyang City")</f>
        <v>Xinyang City</v>
      </c>
      <c r="E2478" s="1" t="s">
        <v>2274</v>
      </c>
      <c r="F2478" s="1" t="str">
        <f>IFERROR(__xludf.DUMMYFUNCTION("GOOGLETRANSLATE(E2478, ""zh-CN"", ""en"")"),"Guangshan County")</f>
        <v>Guangshan County</v>
      </c>
      <c r="G2478" s="1">
        <v>4.11522E11</v>
      </c>
    </row>
    <row r="2479">
      <c r="A2479" s="1" t="s">
        <v>2107</v>
      </c>
      <c r="B2479" s="1" t="str">
        <f>IFERROR(__xludf.DUMMYFUNCTION("GOOGLETRANSLATE(A2405, ""zh-CN"", ""en"")"),"Henan Province")</f>
        <v>Henan Province</v>
      </c>
      <c r="C2479" s="1" t="s">
        <v>2122</v>
      </c>
      <c r="D2479" s="1" t="str">
        <f>IFERROR(__xludf.DUMMYFUNCTION("GOOGLETRANSLATE(C2479, ""zh-CN"", ""en"")"),"Xinyang City")</f>
        <v>Xinyang City</v>
      </c>
      <c r="E2479" s="1" t="s">
        <v>2275</v>
      </c>
      <c r="F2479" s="1" t="str">
        <f>IFERROR(__xludf.DUMMYFUNCTION("GOOGLETRANSLATE(E2479, ""zh-CN"", ""en"")"),"New county")</f>
        <v>New county</v>
      </c>
      <c r="G2479" s="1">
        <v>4.11523E11</v>
      </c>
    </row>
    <row r="2480">
      <c r="A2480" s="1" t="s">
        <v>2107</v>
      </c>
      <c r="B2480" s="1" t="str">
        <f>IFERROR(__xludf.DUMMYFUNCTION("GOOGLETRANSLATE(A2406, ""zh-CN"", ""en"")"),"Henan Province")</f>
        <v>Henan Province</v>
      </c>
      <c r="C2480" s="1" t="s">
        <v>2122</v>
      </c>
      <c r="D2480" s="1" t="str">
        <f>IFERROR(__xludf.DUMMYFUNCTION("GOOGLETRANSLATE(C2480, ""zh-CN"", ""en"")"),"Xinyang City")</f>
        <v>Xinyang City</v>
      </c>
      <c r="E2480" s="1" t="s">
        <v>2276</v>
      </c>
      <c r="F2480" s="1" t="str">
        <f>IFERROR(__xludf.DUMMYFUNCTION("GOOGLETRANSLATE(E2480, ""zh-CN"", ""en"")"),"Mall")</f>
        <v>Mall</v>
      </c>
      <c r="G2480" s="1">
        <v>4.11524E11</v>
      </c>
    </row>
    <row r="2481">
      <c r="A2481" s="1" t="s">
        <v>2107</v>
      </c>
      <c r="B2481" s="1" t="str">
        <f>IFERROR(__xludf.DUMMYFUNCTION("GOOGLETRANSLATE(A2407, ""zh-CN"", ""en"")"),"Henan Province")</f>
        <v>Henan Province</v>
      </c>
      <c r="C2481" s="1" t="s">
        <v>2122</v>
      </c>
      <c r="D2481" s="1" t="str">
        <f>IFERROR(__xludf.DUMMYFUNCTION("GOOGLETRANSLATE(C2481, ""zh-CN"", ""en"")"),"Xinyang City")</f>
        <v>Xinyang City</v>
      </c>
      <c r="E2481" s="1" t="s">
        <v>2277</v>
      </c>
      <c r="F2481" s="1" t="str">
        <f>IFERROR(__xludf.DUMMYFUNCTION("GOOGLETRANSLATE(E2481, ""zh-CN"", ""en"")"),"Gu Shi County")</f>
        <v>Gu Shi County</v>
      </c>
      <c r="G2481" s="1">
        <v>4.11525E11</v>
      </c>
    </row>
    <row r="2482">
      <c r="A2482" s="1" t="s">
        <v>2107</v>
      </c>
      <c r="B2482" s="1" t="str">
        <f>IFERROR(__xludf.DUMMYFUNCTION("GOOGLETRANSLATE(A2408, ""zh-CN"", ""en"")"),"Henan Province")</f>
        <v>Henan Province</v>
      </c>
      <c r="C2482" s="1" t="s">
        <v>2122</v>
      </c>
      <c r="D2482" s="1" t="str">
        <f>IFERROR(__xludf.DUMMYFUNCTION("GOOGLETRANSLATE(C2482, ""zh-CN"", ""en"")"),"Xinyang City")</f>
        <v>Xinyang City</v>
      </c>
      <c r="E2482" s="1" t="s">
        <v>2278</v>
      </c>
      <c r="F2482" s="1" t="str">
        <f>IFERROR(__xludf.DUMMYFUNCTION("GOOGLETRANSLATE(E2482, ""zh-CN"", ""en"")"),"Huangchuan County")</f>
        <v>Huangchuan County</v>
      </c>
      <c r="G2482" s="1">
        <v>4.11526E11</v>
      </c>
    </row>
    <row r="2483">
      <c r="A2483" s="1" t="s">
        <v>2107</v>
      </c>
      <c r="B2483" s="1" t="str">
        <f>IFERROR(__xludf.DUMMYFUNCTION("GOOGLETRANSLATE(A2409, ""zh-CN"", ""en"")"),"Henan Province")</f>
        <v>Henan Province</v>
      </c>
      <c r="C2483" s="1" t="s">
        <v>2122</v>
      </c>
      <c r="D2483" s="1" t="str">
        <f>IFERROR(__xludf.DUMMYFUNCTION("GOOGLETRANSLATE(C2483, ""zh-CN"", ""en"")"),"Xinyang City")</f>
        <v>Xinyang City</v>
      </c>
      <c r="E2483" s="1" t="s">
        <v>2279</v>
      </c>
      <c r="F2483" s="1" t="str">
        <f>IFERROR(__xludf.DUMMYFUNCTION("GOOGLETRANSLATE(E2483, ""zh-CN"", ""en"")"),"Huaibin County")</f>
        <v>Huaibin County</v>
      </c>
      <c r="G2483" s="1">
        <v>4.11527E11</v>
      </c>
    </row>
    <row r="2484">
      <c r="A2484" s="1" t="s">
        <v>2107</v>
      </c>
      <c r="B2484" s="1" t="str">
        <f>IFERROR(__xludf.DUMMYFUNCTION("GOOGLETRANSLATE(A2410, ""zh-CN"", ""en"")"),"Henan Province")</f>
        <v>Henan Province</v>
      </c>
      <c r="C2484" s="1" t="s">
        <v>2122</v>
      </c>
      <c r="D2484" s="1" t="str">
        <f>IFERROR(__xludf.DUMMYFUNCTION("GOOGLETRANSLATE(C2484, ""zh-CN"", ""en"")"),"Xinyang City")</f>
        <v>Xinyang City</v>
      </c>
      <c r="E2484" s="1" t="s">
        <v>2280</v>
      </c>
      <c r="F2484" s="1" t="str">
        <f>IFERROR(__xludf.DUMMYFUNCTION("GOOGLETRANSLATE(E2484, ""zh-CN"", ""en"")"),"Xixian County")</f>
        <v>Xixian County</v>
      </c>
      <c r="G2484" s="1">
        <v>4.11528E11</v>
      </c>
    </row>
    <row r="2485">
      <c r="A2485" s="1" t="s">
        <v>2107</v>
      </c>
      <c r="B2485" s="1" t="str">
        <f>IFERROR(__xludf.DUMMYFUNCTION("GOOGLETRANSLATE(A2411, ""zh-CN"", ""en"")"),"Henan Province")</f>
        <v>Henan Province</v>
      </c>
      <c r="C2485" s="1" t="s">
        <v>2122</v>
      </c>
      <c r="D2485" s="1" t="str">
        <f>IFERROR(__xludf.DUMMYFUNCTION("GOOGLETRANSLATE(C2485, ""zh-CN"", ""en"")"),"Xinyang City")</f>
        <v>Xinyang City</v>
      </c>
      <c r="E2485" s="1" t="s">
        <v>2281</v>
      </c>
      <c r="F2485" s="1" t="str">
        <f>IFERROR(__xludf.DUMMYFUNCTION("GOOGLETRANSLATE(E2485, ""zh-CN"", ""en"")"),"Xinyang High -tech Industrial Development Zone")</f>
        <v>Xinyang High -tech Industrial Development Zone</v>
      </c>
      <c r="G2485" s="1">
        <v>4.11571E11</v>
      </c>
    </row>
    <row r="2486">
      <c r="A2486" s="1" t="s">
        <v>2107</v>
      </c>
      <c r="B2486" s="1" t="str">
        <f>IFERROR(__xludf.DUMMYFUNCTION("GOOGLETRANSLATE(A2412, ""zh-CN"", ""en"")"),"Henan Province")</f>
        <v>Henan Province</v>
      </c>
      <c r="C2486" s="1" t="s">
        <v>2123</v>
      </c>
      <c r="D2486" s="1" t="str">
        <f>IFERROR(__xludf.DUMMYFUNCTION("GOOGLETRANSLATE(C2486, ""zh-CN"", ""en"")"),"Zhoukou City")</f>
        <v>Zhoukou City</v>
      </c>
      <c r="E2486" s="1" t="s">
        <v>24</v>
      </c>
      <c r="F2486" s="1" t="str">
        <f>IFERROR(__xludf.DUMMYFUNCTION("GOOGLETRANSLATE(E2486, ""zh-CN"", ""en"")"),"City area")</f>
        <v>City area</v>
      </c>
      <c r="G2486" s="1">
        <v>4.11601E11</v>
      </c>
    </row>
    <row r="2487">
      <c r="A2487" s="1" t="s">
        <v>2107</v>
      </c>
      <c r="B2487" s="1" t="str">
        <f>IFERROR(__xludf.DUMMYFUNCTION("GOOGLETRANSLATE(A2413, ""zh-CN"", ""en"")"),"Henan Province")</f>
        <v>Henan Province</v>
      </c>
      <c r="C2487" s="1" t="s">
        <v>2123</v>
      </c>
      <c r="D2487" s="1" t="str">
        <f>IFERROR(__xludf.DUMMYFUNCTION("GOOGLETRANSLATE(C2487, ""zh-CN"", ""en"")"),"Zhoukou City")</f>
        <v>Zhoukou City</v>
      </c>
      <c r="E2487" s="1" t="s">
        <v>2282</v>
      </c>
      <c r="F2487" s="1" t="str">
        <f>IFERROR(__xludf.DUMMYFUNCTION("GOOGLETRANSLATE(E2487, ""zh-CN"", ""en"")"),"Chuanhui District")</f>
        <v>Chuanhui District</v>
      </c>
      <c r="G2487" s="1">
        <v>4.11602E11</v>
      </c>
    </row>
    <row r="2488">
      <c r="A2488" s="1" t="s">
        <v>2107</v>
      </c>
      <c r="B2488" s="1" t="str">
        <f>IFERROR(__xludf.DUMMYFUNCTION("GOOGLETRANSLATE(A2414, ""zh-CN"", ""en"")"),"Henan Province")</f>
        <v>Henan Province</v>
      </c>
      <c r="C2488" s="1" t="s">
        <v>2123</v>
      </c>
      <c r="D2488" s="1" t="str">
        <f>IFERROR(__xludf.DUMMYFUNCTION("GOOGLETRANSLATE(C2488, ""zh-CN"", ""en"")"),"Zhoukou City")</f>
        <v>Zhoukou City</v>
      </c>
      <c r="E2488" s="1" t="s">
        <v>2283</v>
      </c>
      <c r="F2488" s="1" t="str">
        <f>IFERROR(__xludf.DUMMYFUNCTION("GOOGLETRANSLATE(E2488, ""zh-CN"", ""en"")"),"Huaiyang District")</f>
        <v>Huaiyang District</v>
      </c>
      <c r="G2488" s="1">
        <v>4.11603E11</v>
      </c>
    </row>
    <row r="2489">
      <c r="A2489" s="1" t="s">
        <v>2107</v>
      </c>
      <c r="B2489" s="1" t="str">
        <f>IFERROR(__xludf.DUMMYFUNCTION("GOOGLETRANSLATE(A2415, ""zh-CN"", ""en"")"),"Henan Province")</f>
        <v>Henan Province</v>
      </c>
      <c r="C2489" s="1" t="s">
        <v>2123</v>
      </c>
      <c r="D2489" s="1" t="str">
        <f>IFERROR(__xludf.DUMMYFUNCTION("GOOGLETRANSLATE(C2489, ""zh-CN"", ""en"")"),"Zhoukou City")</f>
        <v>Zhoukou City</v>
      </c>
      <c r="E2489" s="1" t="s">
        <v>2284</v>
      </c>
      <c r="F2489" s="1" t="str">
        <f>IFERROR(__xludf.DUMMYFUNCTION("GOOGLETRANSLATE(E2489, ""zh-CN"", ""en"")"),"Fugou County")</f>
        <v>Fugou County</v>
      </c>
      <c r="G2489" s="1">
        <v>4.11621E11</v>
      </c>
    </row>
    <row r="2490">
      <c r="A2490" s="1" t="s">
        <v>2107</v>
      </c>
      <c r="B2490" s="1" t="str">
        <f>IFERROR(__xludf.DUMMYFUNCTION("GOOGLETRANSLATE(A2416, ""zh-CN"", ""en"")"),"Henan Province")</f>
        <v>Henan Province</v>
      </c>
      <c r="C2490" s="1" t="s">
        <v>2123</v>
      </c>
      <c r="D2490" s="1" t="str">
        <f>IFERROR(__xludf.DUMMYFUNCTION("GOOGLETRANSLATE(C2490, ""zh-CN"", ""en"")"),"Zhoukou City")</f>
        <v>Zhoukou City</v>
      </c>
      <c r="E2490" s="1" t="s">
        <v>2285</v>
      </c>
      <c r="F2490" s="1" t="str">
        <f>IFERROR(__xludf.DUMMYFUNCTION("GOOGLETRANSLATE(E2490, ""zh-CN"", ""en"")"),"Xihua County")</f>
        <v>Xihua County</v>
      </c>
      <c r="G2490" s="1">
        <v>4.11622E11</v>
      </c>
    </row>
    <row r="2491">
      <c r="A2491" s="1" t="s">
        <v>2107</v>
      </c>
      <c r="B2491" s="1" t="str">
        <f>IFERROR(__xludf.DUMMYFUNCTION("GOOGLETRANSLATE(A2417, ""zh-CN"", ""en"")"),"Henan Province")</f>
        <v>Henan Province</v>
      </c>
      <c r="C2491" s="1" t="s">
        <v>2123</v>
      </c>
      <c r="D2491" s="1" t="str">
        <f>IFERROR(__xludf.DUMMYFUNCTION("GOOGLETRANSLATE(C2491, ""zh-CN"", ""en"")"),"Zhoukou City")</f>
        <v>Zhoukou City</v>
      </c>
      <c r="E2491" s="1" t="s">
        <v>2286</v>
      </c>
      <c r="F2491" s="1" t="str">
        <f>IFERROR(__xludf.DUMMYFUNCTION("GOOGLETRANSLATE(E2491, ""zh-CN"", ""en"")"),"Shangshui County")</f>
        <v>Shangshui County</v>
      </c>
      <c r="G2491" s="1">
        <v>4.11623E11</v>
      </c>
    </row>
    <row r="2492">
      <c r="A2492" s="1" t="s">
        <v>2107</v>
      </c>
      <c r="B2492" s="1" t="str">
        <f>IFERROR(__xludf.DUMMYFUNCTION("GOOGLETRANSLATE(A2418, ""zh-CN"", ""en"")"),"Henan Province")</f>
        <v>Henan Province</v>
      </c>
      <c r="C2492" s="1" t="s">
        <v>2123</v>
      </c>
      <c r="D2492" s="1" t="str">
        <f>IFERROR(__xludf.DUMMYFUNCTION("GOOGLETRANSLATE(C2492, ""zh-CN"", ""en"")"),"Zhoukou City")</f>
        <v>Zhoukou City</v>
      </c>
      <c r="E2492" s="1" t="s">
        <v>2287</v>
      </c>
      <c r="F2492" s="1" t="str">
        <f>IFERROR(__xludf.DUMMYFUNCTION("GOOGLETRANSLATE(E2492, ""zh-CN"", ""en"")"),"Shenqiu County")</f>
        <v>Shenqiu County</v>
      </c>
      <c r="G2492" s="1">
        <v>4.11624E11</v>
      </c>
    </row>
    <row r="2493">
      <c r="A2493" s="1" t="s">
        <v>2107</v>
      </c>
      <c r="B2493" s="1" t="str">
        <f>IFERROR(__xludf.DUMMYFUNCTION("GOOGLETRANSLATE(A2419, ""zh-CN"", ""en"")"),"Henan Province")</f>
        <v>Henan Province</v>
      </c>
      <c r="C2493" s="1" t="s">
        <v>2123</v>
      </c>
      <c r="D2493" s="1" t="str">
        <f>IFERROR(__xludf.DUMMYFUNCTION("GOOGLETRANSLATE(C2493, ""zh-CN"", ""en"")"),"Zhoukou City")</f>
        <v>Zhoukou City</v>
      </c>
      <c r="E2493" s="1" t="s">
        <v>2288</v>
      </c>
      <c r="F2493" s="1" t="str">
        <f>IFERROR(__xludf.DUMMYFUNCTION("GOOGLETRANSLATE(E2493, ""zh-CN"", ""en"")"),"Dancheng County")</f>
        <v>Dancheng County</v>
      </c>
      <c r="G2493" s="1">
        <v>4.11625E11</v>
      </c>
    </row>
    <row r="2494">
      <c r="A2494" s="1" t="s">
        <v>2107</v>
      </c>
      <c r="B2494" s="1" t="str">
        <f>IFERROR(__xludf.DUMMYFUNCTION("GOOGLETRANSLATE(A2420, ""zh-CN"", ""en"")"),"Henan Province")</f>
        <v>Henan Province</v>
      </c>
      <c r="C2494" s="1" t="s">
        <v>2123</v>
      </c>
      <c r="D2494" s="1" t="str">
        <f>IFERROR(__xludf.DUMMYFUNCTION("GOOGLETRANSLATE(C2494, ""zh-CN"", ""en"")"),"Zhoukou City")</f>
        <v>Zhoukou City</v>
      </c>
      <c r="E2494" s="1" t="s">
        <v>2289</v>
      </c>
      <c r="F2494" s="1" t="str">
        <f>IFERROR(__xludf.DUMMYFUNCTION("GOOGLETRANSLATE(E2494, ""zh-CN"", ""en"")"),"Taikang County")</f>
        <v>Taikang County</v>
      </c>
      <c r="G2494" s="1">
        <v>4.11627E11</v>
      </c>
    </row>
    <row r="2495">
      <c r="A2495" s="1" t="s">
        <v>2107</v>
      </c>
      <c r="B2495" s="1" t="str">
        <f>IFERROR(__xludf.DUMMYFUNCTION("GOOGLETRANSLATE(A2421, ""zh-CN"", ""en"")"),"Henan Province")</f>
        <v>Henan Province</v>
      </c>
      <c r="C2495" s="1" t="s">
        <v>2123</v>
      </c>
      <c r="D2495" s="1" t="str">
        <f>IFERROR(__xludf.DUMMYFUNCTION("GOOGLETRANSLATE(C2495, ""zh-CN"", ""en"")"),"Zhoukou City")</f>
        <v>Zhoukou City</v>
      </c>
      <c r="E2495" s="1" t="s">
        <v>2290</v>
      </c>
      <c r="F2495" s="1" t="str">
        <f>IFERROR(__xludf.DUMMYFUNCTION("GOOGLETRANSLATE(E2495, ""zh-CN"", ""en"")"),"Luyi County")</f>
        <v>Luyi County</v>
      </c>
      <c r="G2495" s="1">
        <v>4.11628E11</v>
      </c>
    </row>
    <row r="2496">
      <c r="A2496" s="1" t="s">
        <v>2107</v>
      </c>
      <c r="B2496" s="1" t="str">
        <f>IFERROR(__xludf.DUMMYFUNCTION("GOOGLETRANSLATE(A2422, ""zh-CN"", ""en"")"),"Henan Province")</f>
        <v>Henan Province</v>
      </c>
      <c r="C2496" s="1" t="s">
        <v>2123</v>
      </c>
      <c r="D2496" s="1" t="str">
        <f>IFERROR(__xludf.DUMMYFUNCTION("GOOGLETRANSLATE(C2496, ""zh-CN"", ""en"")"),"Zhoukou City")</f>
        <v>Zhoukou City</v>
      </c>
      <c r="E2496" s="1" t="s">
        <v>2291</v>
      </c>
      <c r="F2496" s="1" t="str">
        <f>IFERROR(__xludf.DUMMYFUNCTION("GOOGLETRANSLATE(E2496, ""zh-CN"", ""en"")"),"Henan Zhoukou Economic Development Zone")</f>
        <v>Henan Zhoukou Economic Development Zone</v>
      </c>
      <c r="G2496" s="1">
        <v>4.11671E11</v>
      </c>
    </row>
    <row r="2497">
      <c r="A2497" s="1" t="s">
        <v>2107</v>
      </c>
      <c r="B2497" s="1" t="str">
        <f>IFERROR(__xludf.DUMMYFUNCTION("GOOGLETRANSLATE(A2423, ""zh-CN"", ""en"")"),"Henan Province")</f>
        <v>Henan Province</v>
      </c>
      <c r="C2497" s="1" t="s">
        <v>2123</v>
      </c>
      <c r="D2497" s="1" t="str">
        <f>IFERROR(__xludf.DUMMYFUNCTION("GOOGLETRANSLATE(C2497, ""zh-CN"", ""en"")"),"Zhoukou City")</f>
        <v>Zhoukou City</v>
      </c>
      <c r="E2497" s="1" t="s">
        <v>2292</v>
      </c>
      <c r="F2497" s="1" t="str">
        <f>IFERROR(__xludf.DUMMYFUNCTION("GOOGLETRANSLATE(E2497, ""zh-CN"", ""en"")"),"Cities")</f>
        <v>Cities</v>
      </c>
      <c r="G2497" s="1">
        <v>4.11681E11</v>
      </c>
    </row>
    <row r="2498">
      <c r="A2498" s="1" t="s">
        <v>2107</v>
      </c>
      <c r="B2498" s="1" t="str">
        <f>IFERROR(__xludf.DUMMYFUNCTION("GOOGLETRANSLATE(A2424, ""zh-CN"", ""en"")"),"Henan Province")</f>
        <v>Henan Province</v>
      </c>
      <c r="C2498" s="1" t="s">
        <v>2124</v>
      </c>
      <c r="D2498" s="1" t="str">
        <f>IFERROR(__xludf.DUMMYFUNCTION("GOOGLETRANSLATE(C2498, ""zh-CN"", ""en"")"),"Zhumadian City")</f>
        <v>Zhumadian City</v>
      </c>
      <c r="E2498" s="1" t="s">
        <v>24</v>
      </c>
      <c r="F2498" s="1" t="str">
        <f>IFERROR(__xludf.DUMMYFUNCTION("GOOGLETRANSLATE(E2498, ""zh-CN"", ""en"")"),"City area")</f>
        <v>City area</v>
      </c>
      <c r="G2498" s="1">
        <v>4.11701E11</v>
      </c>
    </row>
    <row r="2499">
      <c r="A2499" s="1" t="s">
        <v>2107</v>
      </c>
      <c r="B2499" s="1" t="str">
        <f>IFERROR(__xludf.DUMMYFUNCTION("GOOGLETRANSLATE(A2425, ""zh-CN"", ""en"")"),"Henan Province")</f>
        <v>Henan Province</v>
      </c>
      <c r="C2499" s="1" t="s">
        <v>2124</v>
      </c>
      <c r="D2499" s="1" t="str">
        <f>IFERROR(__xludf.DUMMYFUNCTION("GOOGLETRANSLATE(C2499, ""zh-CN"", ""en"")"),"Zhumadian City")</f>
        <v>Zhumadian City</v>
      </c>
      <c r="E2499" s="1" t="s">
        <v>2293</v>
      </c>
      <c r="F2499" s="1" t="str">
        <f>IFERROR(__xludf.DUMMYFUNCTION("GOOGLETRANSLATE(E2499, ""zh-CN"", ""en"")"),"Post -city area")</f>
        <v>Post -city area</v>
      </c>
      <c r="G2499" s="1">
        <v>4.11702E11</v>
      </c>
    </row>
    <row r="2500">
      <c r="A2500" s="1" t="s">
        <v>2107</v>
      </c>
      <c r="B2500" s="1" t="str">
        <f>IFERROR(__xludf.DUMMYFUNCTION("GOOGLETRANSLATE(A2426, ""zh-CN"", ""en"")"),"Henan Province")</f>
        <v>Henan Province</v>
      </c>
      <c r="C2500" s="1" t="s">
        <v>2124</v>
      </c>
      <c r="D2500" s="1" t="str">
        <f>IFERROR(__xludf.DUMMYFUNCTION("GOOGLETRANSLATE(C2500, ""zh-CN"", ""en"")"),"Zhumadian City")</f>
        <v>Zhumadian City</v>
      </c>
      <c r="E2500" s="1" t="s">
        <v>2294</v>
      </c>
      <c r="F2500" s="1" t="str">
        <f>IFERROR(__xludf.DUMMYFUNCTION("GOOGLETRANSLATE(E2500, ""zh-CN"", ""en"")"),"Xiping County")</f>
        <v>Xiping County</v>
      </c>
      <c r="G2500" s="1">
        <v>4.11721E11</v>
      </c>
    </row>
    <row r="2501">
      <c r="A2501" s="1" t="s">
        <v>2107</v>
      </c>
      <c r="B2501" s="1" t="str">
        <f>IFERROR(__xludf.DUMMYFUNCTION("GOOGLETRANSLATE(A2427, ""zh-CN"", ""en"")"),"Henan Province")</f>
        <v>Henan Province</v>
      </c>
      <c r="C2501" s="1" t="s">
        <v>2124</v>
      </c>
      <c r="D2501" s="1" t="str">
        <f>IFERROR(__xludf.DUMMYFUNCTION("GOOGLETRANSLATE(C2501, ""zh-CN"", ""en"")"),"Zhumadian City")</f>
        <v>Zhumadian City</v>
      </c>
      <c r="E2501" s="1" t="s">
        <v>2295</v>
      </c>
      <c r="F2501" s="1" t="str">
        <f>IFERROR(__xludf.DUMMYFUNCTION("GOOGLETRANSLATE(E2501, ""zh-CN"", ""en"")"),"Shangcai County")</f>
        <v>Shangcai County</v>
      </c>
      <c r="G2501" s="1">
        <v>4.11722E11</v>
      </c>
    </row>
    <row r="2502">
      <c r="A2502" s="1" t="s">
        <v>2107</v>
      </c>
      <c r="B2502" s="1" t="str">
        <f>IFERROR(__xludf.DUMMYFUNCTION("GOOGLETRANSLATE(A2428, ""zh-CN"", ""en"")"),"Henan Province")</f>
        <v>Henan Province</v>
      </c>
      <c r="C2502" s="1" t="s">
        <v>2124</v>
      </c>
      <c r="D2502" s="1" t="str">
        <f>IFERROR(__xludf.DUMMYFUNCTION("GOOGLETRANSLATE(C2502, ""zh-CN"", ""en"")"),"Zhumadian City")</f>
        <v>Zhumadian City</v>
      </c>
      <c r="E2502" s="1" t="s">
        <v>2296</v>
      </c>
      <c r="F2502" s="1" t="str">
        <f>IFERROR(__xludf.DUMMYFUNCTION("GOOGLETRANSLATE(E2502, ""zh-CN"", ""en"")"),"Pingyu County")</f>
        <v>Pingyu County</v>
      </c>
      <c r="G2502" s="1">
        <v>4.11723E11</v>
      </c>
    </row>
    <row r="2503">
      <c r="A2503" s="1" t="s">
        <v>2107</v>
      </c>
      <c r="B2503" s="1" t="str">
        <f>IFERROR(__xludf.DUMMYFUNCTION("GOOGLETRANSLATE(A2429, ""zh-CN"", ""en"")"),"Henan Province")</f>
        <v>Henan Province</v>
      </c>
      <c r="C2503" s="1" t="s">
        <v>2124</v>
      </c>
      <c r="D2503" s="1" t="str">
        <f>IFERROR(__xludf.DUMMYFUNCTION("GOOGLETRANSLATE(C2503, ""zh-CN"", ""en"")"),"Zhumadian City")</f>
        <v>Zhumadian City</v>
      </c>
      <c r="E2503" s="1" t="s">
        <v>2297</v>
      </c>
      <c r="F2503" s="1" t="str">
        <f>IFERROR(__xludf.DUMMYFUNCTION("GOOGLETRANSLATE(E2503, ""zh-CN"", ""en"")"),"Zhengyang County")</f>
        <v>Zhengyang County</v>
      </c>
      <c r="G2503" s="1">
        <v>4.11724E11</v>
      </c>
    </row>
    <row r="2504">
      <c r="A2504" s="1" t="s">
        <v>2107</v>
      </c>
      <c r="B2504" s="1" t="str">
        <f>IFERROR(__xludf.DUMMYFUNCTION("GOOGLETRANSLATE(A2430, ""zh-CN"", ""en"")"),"Henan Province")</f>
        <v>Henan Province</v>
      </c>
      <c r="C2504" s="1" t="s">
        <v>2124</v>
      </c>
      <c r="D2504" s="1" t="str">
        <f>IFERROR(__xludf.DUMMYFUNCTION("GOOGLETRANSLATE(C2504, ""zh-CN"", ""en"")"),"Zhumadian City")</f>
        <v>Zhumadian City</v>
      </c>
      <c r="E2504" s="1" t="s">
        <v>2298</v>
      </c>
      <c r="F2504" s="1" t="str">
        <f>IFERROR(__xludf.DUMMYFUNCTION("GOOGLETRANSLATE(E2504, ""zh-CN"", ""en"")"),"Qingshan County")</f>
        <v>Qingshan County</v>
      </c>
      <c r="G2504" s="1">
        <v>4.11725E11</v>
      </c>
    </row>
    <row r="2505">
      <c r="A2505" s="1" t="s">
        <v>2107</v>
      </c>
      <c r="B2505" s="1" t="str">
        <f>IFERROR(__xludf.DUMMYFUNCTION("GOOGLETRANSLATE(A2431, ""zh-CN"", ""en"")"),"Henan Province")</f>
        <v>Henan Province</v>
      </c>
      <c r="C2505" s="1" t="s">
        <v>2124</v>
      </c>
      <c r="D2505" s="1" t="str">
        <f>IFERROR(__xludf.DUMMYFUNCTION("GOOGLETRANSLATE(C2505, ""zh-CN"", ""en"")"),"Zhumadian City")</f>
        <v>Zhumadian City</v>
      </c>
      <c r="E2505" s="1" t="s">
        <v>2299</v>
      </c>
      <c r="F2505" s="1" t="str">
        <f>IFERROR(__xludf.DUMMYFUNCTION("GOOGLETRANSLATE(E2505, ""zh-CN"", ""en"")"),"Biyang County")</f>
        <v>Biyang County</v>
      </c>
      <c r="G2505" s="1">
        <v>4.11726E11</v>
      </c>
    </row>
    <row r="2506">
      <c r="A2506" s="1" t="s">
        <v>2107</v>
      </c>
      <c r="B2506" s="1" t="str">
        <f>IFERROR(__xludf.DUMMYFUNCTION("GOOGLETRANSLATE(A2432, ""zh-CN"", ""en"")"),"Henan Province")</f>
        <v>Henan Province</v>
      </c>
      <c r="C2506" s="1" t="s">
        <v>2124</v>
      </c>
      <c r="D2506" s="1" t="str">
        <f>IFERROR(__xludf.DUMMYFUNCTION("GOOGLETRANSLATE(C2506, ""zh-CN"", ""en"")"),"Zhumadian City")</f>
        <v>Zhumadian City</v>
      </c>
      <c r="E2506" s="1" t="s">
        <v>2300</v>
      </c>
      <c r="F2506" s="1" t="str">
        <f>IFERROR(__xludf.DUMMYFUNCTION("GOOGLETRANSLATE(E2506, ""zh-CN"", ""en"")"),"Runan County")</f>
        <v>Runan County</v>
      </c>
      <c r="G2506" s="1">
        <v>4.11727E11</v>
      </c>
    </row>
    <row r="2507">
      <c r="A2507" s="1" t="s">
        <v>2107</v>
      </c>
      <c r="B2507" s="1" t="str">
        <f>IFERROR(__xludf.DUMMYFUNCTION("GOOGLETRANSLATE(A2433, ""zh-CN"", ""en"")"),"Henan Province")</f>
        <v>Henan Province</v>
      </c>
      <c r="C2507" s="1" t="s">
        <v>2124</v>
      </c>
      <c r="D2507" s="1" t="str">
        <f>IFERROR(__xludf.DUMMYFUNCTION("GOOGLETRANSLATE(C2507, ""zh-CN"", ""en"")"),"Zhumadian City")</f>
        <v>Zhumadian City</v>
      </c>
      <c r="E2507" s="1" t="s">
        <v>2301</v>
      </c>
      <c r="F2507" s="1" t="str">
        <f>IFERROR(__xludf.DUMMYFUNCTION("GOOGLETRANSLATE(E2507, ""zh-CN"", ""en"")"),"Suiping County")</f>
        <v>Suiping County</v>
      </c>
      <c r="G2507" s="1">
        <v>4.11728E11</v>
      </c>
    </row>
    <row r="2508">
      <c r="A2508" s="1" t="s">
        <v>2107</v>
      </c>
      <c r="B2508" s="1" t="str">
        <f>IFERROR(__xludf.DUMMYFUNCTION("GOOGLETRANSLATE(A2434, ""zh-CN"", ""en"")"),"Henan Province")</f>
        <v>Henan Province</v>
      </c>
      <c r="C2508" s="1" t="s">
        <v>2124</v>
      </c>
      <c r="D2508" s="1" t="str">
        <f>IFERROR(__xludf.DUMMYFUNCTION("GOOGLETRANSLATE(C2508, ""zh-CN"", ""en"")"),"Zhumadian City")</f>
        <v>Zhumadian City</v>
      </c>
      <c r="E2508" s="1" t="s">
        <v>2302</v>
      </c>
      <c r="F2508" s="1" t="str">
        <f>IFERROR(__xludf.DUMMYFUNCTION("GOOGLETRANSLATE(E2508, ""zh-CN"", ""en"")"),"Xin Cai County")</f>
        <v>Xin Cai County</v>
      </c>
      <c r="G2508" s="1">
        <v>4.11729E11</v>
      </c>
    </row>
    <row r="2509">
      <c r="A2509" s="1" t="s">
        <v>2107</v>
      </c>
      <c r="B2509" s="1" t="str">
        <f>IFERROR(__xludf.DUMMYFUNCTION("GOOGLETRANSLATE(A2435, ""zh-CN"", ""en"")"),"Henan Province")</f>
        <v>Henan Province</v>
      </c>
      <c r="C2509" s="1" t="s">
        <v>2124</v>
      </c>
      <c r="D2509" s="1" t="str">
        <f>IFERROR(__xludf.DUMMYFUNCTION("GOOGLETRANSLATE(C2509, ""zh-CN"", ""en"")"),"Zhumadian City")</f>
        <v>Zhumadian City</v>
      </c>
      <c r="E2509" s="1" t="s">
        <v>2303</v>
      </c>
      <c r="F2509" s="1" t="str">
        <f>IFERROR(__xludf.DUMMYFUNCTION("GOOGLETRANSLATE(E2509, ""zh-CN"", ""en"")"),"Henan Zhumadian Economic Development Zone")</f>
        <v>Henan Zhumadian Economic Development Zone</v>
      </c>
      <c r="G2509" s="1">
        <v>4.11771E11</v>
      </c>
    </row>
    <row r="2510">
      <c r="A2510" s="1" t="s">
        <v>2107</v>
      </c>
      <c r="B2510" s="1" t="str">
        <f>IFERROR(__xludf.DUMMYFUNCTION("GOOGLETRANSLATE(A2436, ""zh-CN"", ""en"")"),"Henan Province")</f>
        <v>Henan Province</v>
      </c>
      <c r="C2510" s="1" t="s">
        <v>2125</v>
      </c>
      <c r="D2510" s="1" t="str">
        <f>IFERROR(__xludf.DUMMYFUNCTION("GOOGLETRANSLATE(C2510, ""zh-CN"", ""en"")"),"Provincial and county -level administrative divisions directly under the jurisdiction")</f>
        <v>Provincial and county -level administrative divisions directly under the jurisdiction</v>
      </c>
      <c r="E2510" s="1" t="s">
        <v>2304</v>
      </c>
      <c r="F2510" s="1" t="str">
        <f>IFERROR(__xludf.DUMMYFUNCTION("GOOGLETRANSLATE(E2510, ""zh-CN"", ""en"")"),"Jiyuan City")</f>
        <v>Jiyuan City</v>
      </c>
      <c r="G2510" s="1">
        <v>4.19001E11</v>
      </c>
    </row>
    <row r="2511">
      <c r="A2511" s="1" t="s">
        <v>2305</v>
      </c>
      <c r="B2511" s="1" t="str">
        <f>IFERROR(__xludf.DUMMYFUNCTION("GOOGLETRANSLATE(A2437, ""zh-CN"", ""en"")"),"Henan Province")</f>
        <v>Henan Province</v>
      </c>
      <c r="C2511" s="1" t="s">
        <v>8</v>
      </c>
      <c r="D2511" s="1" t="str">
        <f>IFERROR(__xludf.DUMMYFUNCTION("GOOGLETRANSLATE(C2511, ""zh-CN"", ""en"")"),"Na")</f>
        <v>Na</v>
      </c>
      <c r="E2511" s="1" t="s">
        <v>8</v>
      </c>
      <c r="F2511" s="1" t="str">
        <f>IFERROR(__xludf.DUMMYFUNCTION("GOOGLETRANSLATE(E2511, ""zh-CN"", ""en"")"),"Na")</f>
        <v>Na</v>
      </c>
      <c r="G2511" s="1">
        <v>15.0</v>
      </c>
    </row>
    <row r="2512">
      <c r="A2512" s="1" t="s">
        <v>2305</v>
      </c>
      <c r="B2512" s="1" t="str">
        <f>IFERROR(__xludf.DUMMYFUNCTION("GOOGLETRANSLATE(A2438, ""zh-CN"", ""en"")"),"Henan Province")</f>
        <v>Henan Province</v>
      </c>
      <c r="C2512" s="1" t="s">
        <v>2306</v>
      </c>
      <c r="D2512" s="1" t="str">
        <f>IFERROR(__xludf.DUMMYFUNCTION("GOOGLETRANSLATE(C2512, ""zh-CN"", ""en"")"),"Hohhot City")</f>
        <v>Hohhot City</v>
      </c>
      <c r="E2512" s="1" t="s">
        <v>8</v>
      </c>
      <c r="F2512" s="1" t="str">
        <f>IFERROR(__xludf.DUMMYFUNCTION("GOOGLETRANSLATE(E2512, ""zh-CN"", ""en"")"),"Na")</f>
        <v>Na</v>
      </c>
      <c r="G2512" s="1">
        <v>1.501E11</v>
      </c>
    </row>
    <row r="2513">
      <c r="A2513" s="1" t="s">
        <v>2305</v>
      </c>
      <c r="B2513" s="1" t="str">
        <f>IFERROR(__xludf.DUMMYFUNCTION("GOOGLETRANSLATE(A2439, ""zh-CN"", ""en"")"),"Henan Province")</f>
        <v>Henan Province</v>
      </c>
      <c r="C2513" s="1" t="s">
        <v>2307</v>
      </c>
      <c r="D2513" s="1" t="str">
        <f>IFERROR(__xludf.DUMMYFUNCTION("GOOGLETRANSLATE(C2513, ""zh-CN"", ""en"")"),"Baotou City")</f>
        <v>Baotou City</v>
      </c>
      <c r="E2513" s="1" t="s">
        <v>8</v>
      </c>
      <c r="F2513" s="1" t="str">
        <f>IFERROR(__xludf.DUMMYFUNCTION("GOOGLETRANSLATE(E2513, ""zh-CN"", ""en"")"),"Na")</f>
        <v>Na</v>
      </c>
      <c r="G2513" s="1">
        <v>1.502E11</v>
      </c>
    </row>
    <row r="2514">
      <c r="A2514" s="1" t="s">
        <v>2305</v>
      </c>
      <c r="B2514" s="1" t="str">
        <f>IFERROR(__xludf.DUMMYFUNCTION("GOOGLETRANSLATE(A2440, ""zh-CN"", ""en"")"),"Henan Province")</f>
        <v>Henan Province</v>
      </c>
      <c r="C2514" s="1" t="s">
        <v>2308</v>
      </c>
      <c r="D2514" s="1" t="str">
        <f>IFERROR(__xludf.DUMMYFUNCTION("GOOGLETRANSLATE(C2514, ""zh-CN"", ""en"")"),"Wuhai City")</f>
        <v>Wuhai City</v>
      </c>
      <c r="E2514" s="1" t="s">
        <v>8</v>
      </c>
      <c r="F2514" s="1" t="str">
        <f>IFERROR(__xludf.DUMMYFUNCTION("GOOGLETRANSLATE(E2514, ""zh-CN"", ""en"")"),"Na")</f>
        <v>Na</v>
      </c>
      <c r="G2514" s="1">
        <v>1.503E11</v>
      </c>
    </row>
    <row r="2515">
      <c r="A2515" s="1" t="s">
        <v>2305</v>
      </c>
      <c r="B2515" s="1" t="str">
        <f>IFERROR(__xludf.DUMMYFUNCTION("GOOGLETRANSLATE(A2441, ""zh-CN"", ""en"")"),"Henan Province")</f>
        <v>Henan Province</v>
      </c>
      <c r="C2515" s="1" t="s">
        <v>2309</v>
      </c>
      <c r="D2515" s="1" t="str">
        <f>IFERROR(__xludf.DUMMYFUNCTION("GOOGLETRANSLATE(C2515, ""zh-CN"", ""en"")"),"Chifeng City")</f>
        <v>Chifeng City</v>
      </c>
      <c r="E2515" s="1" t="s">
        <v>8</v>
      </c>
      <c r="F2515" s="1" t="str">
        <f>IFERROR(__xludf.DUMMYFUNCTION("GOOGLETRANSLATE(E2515, ""zh-CN"", ""en"")"),"Na")</f>
        <v>Na</v>
      </c>
      <c r="G2515" s="1">
        <v>1.504E11</v>
      </c>
    </row>
    <row r="2516">
      <c r="A2516" s="1" t="s">
        <v>2305</v>
      </c>
      <c r="B2516" s="1" t="str">
        <f>IFERROR(__xludf.DUMMYFUNCTION("GOOGLETRANSLATE(A2442, ""zh-CN"", ""en"")"),"Henan Province")</f>
        <v>Henan Province</v>
      </c>
      <c r="C2516" s="1" t="s">
        <v>2310</v>
      </c>
      <c r="D2516" s="1" t="str">
        <f>IFERROR(__xludf.DUMMYFUNCTION("GOOGLETRANSLATE(C2516, ""zh-CN"", ""en"")"),"Tongliao City")</f>
        <v>Tongliao City</v>
      </c>
      <c r="E2516" s="1" t="s">
        <v>8</v>
      </c>
      <c r="F2516" s="1" t="str">
        <f>IFERROR(__xludf.DUMMYFUNCTION("GOOGLETRANSLATE(E2516, ""zh-CN"", ""en"")"),"Na")</f>
        <v>Na</v>
      </c>
      <c r="G2516" s="1">
        <v>1.505E11</v>
      </c>
    </row>
    <row r="2517">
      <c r="A2517" s="1" t="s">
        <v>2305</v>
      </c>
      <c r="B2517" s="1" t="str">
        <f>IFERROR(__xludf.DUMMYFUNCTION("GOOGLETRANSLATE(A2443, ""zh-CN"", ""en"")"),"Henan Province")</f>
        <v>Henan Province</v>
      </c>
      <c r="C2517" s="1" t="s">
        <v>2311</v>
      </c>
      <c r="D2517" s="1" t="str">
        <f>IFERROR(__xludf.DUMMYFUNCTION("GOOGLETRANSLATE(C2517, ""zh-CN"", ""en"")"),"Ordos")</f>
        <v>Ordos</v>
      </c>
      <c r="E2517" s="1" t="s">
        <v>8</v>
      </c>
      <c r="F2517" s="1" t="str">
        <f>IFERROR(__xludf.DUMMYFUNCTION("GOOGLETRANSLATE(E2517, ""zh-CN"", ""en"")"),"Na")</f>
        <v>Na</v>
      </c>
      <c r="G2517" s="1">
        <v>1.506E11</v>
      </c>
    </row>
    <row r="2518">
      <c r="A2518" s="1" t="s">
        <v>2305</v>
      </c>
      <c r="B2518" s="1" t="str">
        <f>IFERROR(__xludf.DUMMYFUNCTION("GOOGLETRANSLATE(A2444, ""zh-CN"", ""en"")"),"Henan Province")</f>
        <v>Henan Province</v>
      </c>
      <c r="C2518" s="1" t="s">
        <v>2312</v>
      </c>
      <c r="D2518" s="1" t="str">
        <f>IFERROR(__xludf.DUMMYFUNCTION("GOOGLETRANSLATE(C2518, ""zh-CN"", ""en"")"),"Hulunbeir")</f>
        <v>Hulunbeir</v>
      </c>
      <c r="E2518" s="1" t="s">
        <v>8</v>
      </c>
      <c r="F2518" s="1" t="str">
        <f>IFERROR(__xludf.DUMMYFUNCTION("GOOGLETRANSLATE(E2518, ""zh-CN"", ""en"")"),"Na")</f>
        <v>Na</v>
      </c>
      <c r="G2518" s="1">
        <v>1.507E11</v>
      </c>
    </row>
    <row r="2519">
      <c r="A2519" s="1" t="s">
        <v>2305</v>
      </c>
      <c r="B2519" s="1" t="str">
        <f>IFERROR(__xludf.DUMMYFUNCTION("GOOGLETRANSLATE(A2445, ""zh-CN"", ""en"")"),"Henan Province")</f>
        <v>Henan Province</v>
      </c>
      <c r="C2519" s="1" t="s">
        <v>2313</v>
      </c>
      <c r="D2519" s="1" t="str">
        <f>IFERROR(__xludf.DUMMYFUNCTION("GOOGLETRANSLATE(C2519, ""zh-CN"", ""en"")"),"Bayannuer City")</f>
        <v>Bayannuer City</v>
      </c>
      <c r="E2519" s="1" t="s">
        <v>8</v>
      </c>
      <c r="F2519" s="1" t="str">
        <f>IFERROR(__xludf.DUMMYFUNCTION("GOOGLETRANSLATE(E2519, ""zh-CN"", ""en"")"),"Na")</f>
        <v>Na</v>
      </c>
      <c r="G2519" s="1">
        <v>1.508E11</v>
      </c>
    </row>
    <row r="2520">
      <c r="A2520" s="1" t="s">
        <v>2305</v>
      </c>
      <c r="B2520" s="1" t="str">
        <f>IFERROR(__xludf.DUMMYFUNCTION("GOOGLETRANSLATE(A2446, ""zh-CN"", ""en"")"),"Henan Province")</f>
        <v>Henan Province</v>
      </c>
      <c r="C2520" s="1" t="s">
        <v>2314</v>
      </c>
      <c r="D2520" s="1" t="str">
        <f>IFERROR(__xludf.DUMMYFUNCTION("GOOGLETRANSLATE(C2520, ""zh-CN"", ""en"")"),"Wulanchabu")</f>
        <v>Wulanchabu</v>
      </c>
      <c r="E2520" s="1" t="s">
        <v>8</v>
      </c>
      <c r="F2520" s="1" t="str">
        <f>IFERROR(__xludf.DUMMYFUNCTION("GOOGLETRANSLATE(E2520, ""zh-CN"", ""en"")"),"Na")</f>
        <v>Na</v>
      </c>
      <c r="G2520" s="1">
        <v>1.509E11</v>
      </c>
    </row>
    <row r="2521">
      <c r="A2521" s="1" t="s">
        <v>2305</v>
      </c>
      <c r="B2521" s="1" t="str">
        <f>IFERROR(__xludf.DUMMYFUNCTION("GOOGLETRANSLATE(A2447, ""zh-CN"", ""en"")"),"Henan Province")</f>
        <v>Henan Province</v>
      </c>
      <c r="C2521" s="1" t="s">
        <v>2315</v>
      </c>
      <c r="D2521" s="1" t="str">
        <f>IFERROR(__xludf.DUMMYFUNCTION("GOOGLETRANSLATE(C2521, ""zh-CN"", ""en"")"),"Xing'an")</f>
        <v>Xing'an</v>
      </c>
      <c r="E2521" s="1" t="s">
        <v>8</v>
      </c>
      <c r="F2521" s="1" t="str">
        <f>IFERROR(__xludf.DUMMYFUNCTION("GOOGLETRANSLATE(E2521, ""zh-CN"", ""en"")"),"Na")</f>
        <v>Na</v>
      </c>
      <c r="G2521" s="1">
        <v>1.522E11</v>
      </c>
    </row>
    <row r="2522">
      <c r="A2522" s="1" t="s">
        <v>2305</v>
      </c>
      <c r="B2522" s="1" t="str">
        <f>IFERROR(__xludf.DUMMYFUNCTION("GOOGLETRANSLATE(A2448, ""zh-CN"", ""en"")"),"Henan Province")</f>
        <v>Henan Province</v>
      </c>
      <c r="C2522" s="1" t="s">
        <v>2316</v>
      </c>
      <c r="D2522" s="1" t="str">
        <f>IFERROR(__xludf.DUMMYFUNCTION("GOOGLETRANSLATE(C2522, ""zh-CN"", ""en"")"),"Xilin Gol League")</f>
        <v>Xilin Gol League</v>
      </c>
      <c r="E2522" s="1" t="s">
        <v>8</v>
      </c>
      <c r="F2522" s="1" t="str">
        <f>IFERROR(__xludf.DUMMYFUNCTION("GOOGLETRANSLATE(E2522, ""zh-CN"", ""en"")"),"Na")</f>
        <v>Na</v>
      </c>
      <c r="G2522" s="1">
        <v>1.525E11</v>
      </c>
    </row>
    <row r="2523">
      <c r="A2523" s="1" t="s">
        <v>2305</v>
      </c>
      <c r="B2523" s="1" t="str">
        <f>IFERROR(__xludf.DUMMYFUNCTION("GOOGLETRANSLATE(A2449, ""zh-CN"", ""en"")"),"Henan Province")</f>
        <v>Henan Province</v>
      </c>
      <c r="C2523" s="1" t="s">
        <v>2317</v>
      </c>
      <c r="D2523" s="1" t="str">
        <f>IFERROR(__xludf.DUMMYFUNCTION("GOOGLETRANSLATE(C2523, ""zh-CN"", ""en"")"),"Alxa League")</f>
        <v>Alxa League</v>
      </c>
      <c r="E2523" s="1" t="s">
        <v>8</v>
      </c>
      <c r="F2523" s="1" t="str">
        <f>IFERROR(__xludf.DUMMYFUNCTION("GOOGLETRANSLATE(E2523, ""zh-CN"", ""en"")"),"Na")</f>
        <v>Na</v>
      </c>
      <c r="G2523" s="1">
        <v>1.529E11</v>
      </c>
    </row>
    <row r="2524">
      <c r="A2524" s="1" t="s">
        <v>2305</v>
      </c>
      <c r="B2524" s="1" t="str">
        <f>IFERROR(__xludf.DUMMYFUNCTION("GOOGLETRANSLATE(A2450, ""zh-CN"", ""en"")"),"Henan Province")</f>
        <v>Henan Province</v>
      </c>
      <c r="C2524" s="1" t="s">
        <v>2306</v>
      </c>
      <c r="D2524" s="1" t="str">
        <f>IFERROR(__xludf.DUMMYFUNCTION("GOOGLETRANSLATE(C2524, ""zh-CN"", ""en"")"),"Hohhot City")</f>
        <v>Hohhot City</v>
      </c>
      <c r="E2524" s="1" t="s">
        <v>24</v>
      </c>
      <c r="F2524" s="1" t="str">
        <f>IFERROR(__xludf.DUMMYFUNCTION("GOOGLETRANSLATE(E2524, ""zh-CN"", ""en"")"),"City area")</f>
        <v>City area</v>
      </c>
      <c r="G2524" s="1">
        <v>1.50101E11</v>
      </c>
    </row>
    <row r="2525">
      <c r="A2525" s="1" t="s">
        <v>2305</v>
      </c>
      <c r="B2525" s="1" t="str">
        <f>IFERROR(__xludf.DUMMYFUNCTION("GOOGLETRANSLATE(A2451, ""zh-CN"", ""en"")"),"Henan Province")</f>
        <v>Henan Province</v>
      </c>
      <c r="C2525" s="1" t="s">
        <v>2306</v>
      </c>
      <c r="D2525" s="1" t="str">
        <f>IFERROR(__xludf.DUMMYFUNCTION("GOOGLETRANSLATE(C2525, ""zh-CN"", ""en"")"),"Hohhot City")</f>
        <v>Hohhot City</v>
      </c>
      <c r="E2525" s="1" t="s">
        <v>2318</v>
      </c>
      <c r="F2525" s="1" t="str">
        <f>IFERROR(__xludf.DUMMYFUNCTION("GOOGLETRANSLATE(E2525, ""zh-CN"", ""en"")"),"New town area")</f>
        <v>New town area</v>
      </c>
      <c r="G2525" s="1">
        <v>1.50102E11</v>
      </c>
    </row>
    <row r="2526">
      <c r="A2526" s="1" t="s">
        <v>2305</v>
      </c>
      <c r="B2526" s="1" t="str">
        <f>IFERROR(__xludf.DUMMYFUNCTION("GOOGLETRANSLATE(A2452, ""zh-CN"", ""en"")"),"Henan Province")</f>
        <v>Henan Province</v>
      </c>
      <c r="C2526" s="1" t="s">
        <v>2306</v>
      </c>
      <c r="D2526" s="1" t="str">
        <f>IFERROR(__xludf.DUMMYFUNCTION("GOOGLETRANSLATE(C2526, ""zh-CN"", ""en"")"),"Hohhot City")</f>
        <v>Hohhot City</v>
      </c>
      <c r="E2526" s="1" t="s">
        <v>2319</v>
      </c>
      <c r="F2526" s="1" t="str">
        <f>IFERROR(__xludf.DUMMYFUNCTION("GOOGLETRANSLATE(E2526, ""zh-CN"", ""en"")"),"Return to the people")</f>
        <v>Return to the people</v>
      </c>
      <c r="G2526" s="1">
        <v>1.50103E11</v>
      </c>
    </row>
    <row r="2527">
      <c r="A2527" s="1" t="s">
        <v>2305</v>
      </c>
      <c r="B2527" s="1" t="str">
        <f>IFERROR(__xludf.DUMMYFUNCTION("GOOGLETRANSLATE(A2453, ""zh-CN"", ""en"")"),"Henan Province")</f>
        <v>Henan Province</v>
      </c>
      <c r="C2527" s="1" t="s">
        <v>2306</v>
      </c>
      <c r="D2527" s="1" t="str">
        <f>IFERROR(__xludf.DUMMYFUNCTION("GOOGLETRANSLATE(C2527, ""zh-CN"", ""en"")"),"Hohhot City")</f>
        <v>Hohhot City</v>
      </c>
      <c r="E2527" s="1" t="s">
        <v>2320</v>
      </c>
      <c r="F2527" s="1" t="str">
        <f>IFERROR(__xludf.DUMMYFUNCTION("GOOGLETRANSLATE(E2527, ""zh-CN"", ""en"")"),"Yuquan District")</f>
        <v>Yuquan District</v>
      </c>
      <c r="G2527" s="1">
        <v>1.50104E11</v>
      </c>
    </row>
    <row r="2528">
      <c r="A2528" s="1" t="s">
        <v>2305</v>
      </c>
      <c r="B2528" s="1" t="str">
        <f>IFERROR(__xludf.DUMMYFUNCTION("GOOGLETRANSLATE(A2454, ""zh-CN"", ""en"")"),"Henan Province")</f>
        <v>Henan Province</v>
      </c>
      <c r="C2528" s="1" t="s">
        <v>2306</v>
      </c>
      <c r="D2528" s="1" t="str">
        <f>IFERROR(__xludf.DUMMYFUNCTION("GOOGLETRANSLATE(C2528, ""zh-CN"", ""en"")"),"Hohhot City")</f>
        <v>Hohhot City</v>
      </c>
      <c r="E2528" s="1" t="s">
        <v>2321</v>
      </c>
      <c r="F2528" s="1" t="str">
        <f>IFERROR(__xludf.DUMMYFUNCTION("GOOGLETRANSLATE(E2528, ""zh-CN"", ""en"")"),"SaiHan District")</f>
        <v>SaiHan District</v>
      </c>
      <c r="G2528" s="1">
        <v>1.50105E11</v>
      </c>
    </row>
    <row r="2529">
      <c r="A2529" s="1" t="s">
        <v>2305</v>
      </c>
      <c r="B2529" s="1" t="str">
        <f>IFERROR(__xludf.DUMMYFUNCTION("GOOGLETRANSLATE(A2455, ""zh-CN"", ""en"")"),"Henan Province")</f>
        <v>Henan Province</v>
      </c>
      <c r="C2529" s="1" t="s">
        <v>2306</v>
      </c>
      <c r="D2529" s="1" t="str">
        <f>IFERROR(__xludf.DUMMYFUNCTION("GOOGLETRANSLATE(C2529, ""zh-CN"", ""en"")"),"Hohhot City")</f>
        <v>Hohhot City</v>
      </c>
      <c r="E2529" s="1" t="s">
        <v>2322</v>
      </c>
      <c r="F2529" s="1" t="str">
        <f>IFERROR(__xludf.DUMMYFUNCTION("GOOGLETRANSLATE(E2529, ""zh-CN"", ""en"")"),"Turkom Zuoqi")</f>
        <v>Turkom Zuoqi</v>
      </c>
      <c r="G2529" s="1">
        <v>1.50121E11</v>
      </c>
    </row>
    <row r="2530">
      <c r="A2530" s="1" t="s">
        <v>2305</v>
      </c>
      <c r="B2530" s="1" t="str">
        <f>IFERROR(__xludf.DUMMYFUNCTION("GOOGLETRANSLATE(A2456, ""zh-CN"", ""en"")"),"Henan Province")</f>
        <v>Henan Province</v>
      </c>
      <c r="C2530" s="1" t="s">
        <v>2306</v>
      </c>
      <c r="D2530" s="1" t="str">
        <f>IFERROR(__xludf.DUMMYFUNCTION("GOOGLETRANSLATE(C2530, ""zh-CN"", ""en"")"),"Hohhot City")</f>
        <v>Hohhot City</v>
      </c>
      <c r="E2530" s="1" t="s">
        <v>2323</v>
      </c>
      <c r="F2530" s="1" t="str">
        <f>IFERROR(__xludf.DUMMYFUNCTION("GOOGLETRANSLATE(E2530, ""zh-CN"", ""en"")"),"Toto County")</f>
        <v>Toto County</v>
      </c>
      <c r="G2530" s="1">
        <v>1.50122E11</v>
      </c>
    </row>
    <row r="2531">
      <c r="A2531" s="1" t="s">
        <v>2305</v>
      </c>
      <c r="B2531" s="1" t="str">
        <f>IFERROR(__xludf.DUMMYFUNCTION("GOOGLETRANSLATE(A2457, ""zh-CN"", ""en"")"),"Henan Province")</f>
        <v>Henan Province</v>
      </c>
      <c r="C2531" s="1" t="s">
        <v>2306</v>
      </c>
      <c r="D2531" s="1" t="str">
        <f>IFERROR(__xludf.DUMMYFUNCTION("GOOGLETRANSLATE(C2531, ""zh-CN"", ""en"")"),"Hohhot City")</f>
        <v>Hohhot City</v>
      </c>
      <c r="E2531" s="1" t="s">
        <v>2324</v>
      </c>
      <c r="F2531" s="1" t="str">
        <f>IFERROR(__xludf.DUMMYFUNCTION("GOOGLETRANSLATE(E2531, ""zh-CN"", ""en"")"),"Helinle County")</f>
        <v>Helinle County</v>
      </c>
      <c r="G2531" s="1">
        <v>1.50123E11</v>
      </c>
    </row>
    <row r="2532">
      <c r="A2532" s="1" t="s">
        <v>2305</v>
      </c>
      <c r="B2532" s="1" t="str">
        <f>IFERROR(__xludf.DUMMYFUNCTION("GOOGLETRANSLATE(A2458, ""zh-CN"", ""en"")"),"Henan Province")</f>
        <v>Henan Province</v>
      </c>
      <c r="C2532" s="1" t="s">
        <v>2306</v>
      </c>
      <c r="D2532" s="1" t="str">
        <f>IFERROR(__xludf.DUMMYFUNCTION("GOOGLETRANSLATE(C2532, ""zh-CN"", ""en"")"),"Hohhot City")</f>
        <v>Hohhot City</v>
      </c>
      <c r="E2532" s="1" t="s">
        <v>2325</v>
      </c>
      <c r="F2532" s="1" t="str">
        <f>IFERROR(__xludf.DUMMYFUNCTION("GOOGLETRANSLATE(E2532, ""zh-CN"", ""en"")"),"Qingshuihe County")</f>
        <v>Qingshuihe County</v>
      </c>
      <c r="G2532" s="1">
        <v>1.50124E11</v>
      </c>
    </row>
    <row r="2533">
      <c r="A2533" s="1" t="s">
        <v>2305</v>
      </c>
      <c r="B2533" s="1" t="str">
        <f>IFERROR(__xludf.DUMMYFUNCTION("GOOGLETRANSLATE(A2459, ""zh-CN"", ""en"")"),"Henan Province")</f>
        <v>Henan Province</v>
      </c>
      <c r="C2533" s="1" t="s">
        <v>2306</v>
      </c>
      <c r="D2533" s="1" t="str">
        <f>IFERROR(__xludf.DUMMYFUNCTION("GOOGLETRANSLATE(C2533, ""zh-CN"", ""en"")"),"Hohhot City")</f>
        <v>Hohhot City</v>
      </c>
      <c r="E2533" s="1" t="s">
        <v>2326</v>
      </c>
      <c r="F2533" s="1" t="str">
        <f>IFERROR(__xludf.DUMMYFUNCTION("GOOGLETRANSLATE(E2533, ""zh-CN"", ""en"")"),"Wuchuan County")</f>
        <v>Wuchuan County</v>
      </c>
      <c r="G2533" s="1">
        <v>1.50125E11</v>
      </c>
    </row>
    <row r="2534">
      <c r="A2534" s="1" t="s">
        <v>2305</v>
      </c>
      <c r="B2534" s="1" t="str">
        <f>IFERROR(__xludf.DUMMYFUNCTION("GOOGLETRANSLATE(A2460, ""zh-CN"", ""en"")"),"Henan Province")</f>
        <v>Henan Province</v>
      </c>
      <c r="C2534" s="1" t="s">
        <v>2306</v>
      </c>
      <c r="D2534" s="1" t="str">
        <f>IFERROR(__xludf.DUMMYFUNCTION("GOOGLETRANSLATE(C2534, ""zh-CN"", ""en"")"),"Hohhot City")</f>
        <v>Hohhot City</v>
      </c>
      <c r="E2534" s="1" t="s">
        <v>2327</v>
      </c>
      <c r="F2534" s="1" t="str">
        <f>IFERROR(__xludf.DUMMYFUNCTION("GOOGLETRANSLATE(E2534, ""zh-CN"", ""en"")"),"Hohhot Economic and Technological Development Zone")</f>
        <v>Hohhot Economic and Technological Development Zone</v>
      </c>
      <c r="G2534" s="1">
        <v>1.50172E11</v>
      </c>
    </row>
    <row r="2535">
      <c r="A2535" s="1" t="s">
        <v>2305</v>
      </c>
      <c r="B2535" s="1" t="str">
        <f>IFERROR(__xludf.DUMMYFUNCTION("GOOGLETRANSLATE(A2461, ""zh-CN"", ""en"")"),"Henan Province")</f>
        <v>Henan Province</v>
      </c>
      <c r="C2535" s="1" t="s">
        <v>2307</v>
      </c>
      <c r="D2535" s="1" t="str">
        <f>IFERROR(__xludf.DUMMYFUNCTION("GOOGLETRANSLATE(C2535, ""zh-CN"", ""en"")"),"Baotou City")</f>
        <v>Baotou City</v>
      </c>
      <c r="E2535" s="1" t="s">
        <v>24</v>
      </c>
      <c r="F2535" s="1" t="str">
        <f>IFERROR(__xludf.DUMMYFUNCTION("GOOGLETRANSLATE(E2535, ""zh-CN"", ""en"")"),"City area")</f>
        <v>City area</v>
      </c>
      <c r="G2535" s="1">
        <v>1.50201E11</v>
      </c>
    </row>
    <row r="2536">
      <c r="A2536" s="1" t="s">
        <v>2305</v>
      </c>
      <c r="B2536" s="1" t="str">
        <f>IFERROR(__xludf.DUMMYFUNCTION("GOOGLETRANSLATE(A2462, ""zh-CN"", ""en"")"),"Henan Province")</f>
        <v>Henan Province</v>
      </c>
      <c r="C2536" s="1" t="s">
        <v>2307</v>
      </c>
      <c r="D2536" s="1" t="str">
        <f>IFERROR(__xludf.DUMMYFUNCTION("GOOGLETRANSLATE(C2536, ""zh-CN"", ""en"")"),"Baotou City")</f>
        <v>Baotou City</v>
      </c>
      <c r="E2536" s="1" t="s">
        <v>2328</v>
      </c>
      <c r="F2536" s="1" t="str">
        <f>IFERROR(__xludf.DUMMYFUNCTION("GOOGLETRANSLATE(E2536, ""zh-CN"", ""en"")"),"Donghe District")</f>
        <v>Donghe District</v>
      </c>
      <c r="G2536" s="1">
        <v>1.50202E11</v>
      </c>
    </row>
    <row r="2537">
      <c r="A2537" s="1" t="s">
        <v>2305</v>
      </c>
      <c r="B2537" s="1" t="str">
        <f>IFERROR(__xludf.DUMMYFUNCTION("GOOGLETRANSLATE(A2463, ""zh-CN"", ""en"")"),"Henan Province")</f>
        <v>Henan Province</v>
      </c>
      <c r="C2537" s="1" t="s">
        <v>2307</v>
      </c>
      <c r="D2537" s="1" t="str">
        <f>IFERROR(__xludf.DUMMYFUNCTION("GOOGLETRANSLATE(C2537, ""zh-CN"", ""en"")"),"Baotou City")</f>
        <v>Baotou City</v>
      </c>
      <c r="E2537" s="1" t="s">
        <v>2329</v>
      </c>
      <c r="F2537" s="1" t="str">
        <f>IFERROR(__xludf.DUMMYFUNCTION("GOOGLETRANSLATE(E2537, ""zh-CN"", ""en"")"),"Kundulun District")</f>
        <v>Kundulun District</v>
      </c>
      <c r="G2537" s="1">
        <v>1.50203E11</v>
      </c>
    </row>
    <row r="2538">
      <c r="A2538" s="1" t="s">
        <v>2305</v>
      </c>
      <c r="B2538" s="1" t="str">
        <f>IFERROR(__xludf.DUMMYFUNCTION("GOOGLETRANSLATE(A2464, ""zh-CN"", ""en"")"),"Henan Province")</f>
        <v>Henan Province</v>
      </c>
      <c r="C2538" s="1" t="s">
        <v>2307</v>
      </c>
      <c r="D2538" s="1" t="str">
        <f>IFERROR(__xludf.DUMMYFUNCTION("GOOGLETRANSLATE(C2538, ""zh-CN"", ""en"")"),"Baotou City")</f>
        <v>Baotou City</v>
      </c>
      <c r="E2538" s="1" t="s">
        <v>2330</v>
      </c>
      <c r="F2538" s="1" t="str">
        <f>IFERROR(__xludf.DUMMYFUNCTION("GOOGLETRANSLATE(E2538, ""zh-CN"", ""en"")"),"Qingshan District")</f>
        <v>Qingshan District</v>
      </c>
      <c r="G2538" s="1">
        <v>1.50204E11</v>
      </c>
    </row>
    <row r="2539">
      <c r="A2539" s="1" t="s">
        <v>2305</v>
      </c>
      <c r="B2539" s="1" t="str">
        <f>IFERROR(__xludf.DUMMYFUNCTION("GOOGLETRANSLATE(A2465, ""zh-CN"", ""en"")"),"Henan Province")</f>
        <v>Henan Province</v>
      </c>
      <c r="C2539" s="1" t="s">
        <v>2307</v>
      </c>
      <c r="D2539" s="1" t="str">
        <f>IFERROR(__xludf.DUMMYFUNCTION("GOOGLETRANSLATE(C2539, ""zh-CN"", ""en"")"),"Baotou City")</f>
        <v>Baotou City</v>
      </c>
      <c r="E2539" s="1" t="s">
        <v>2331</v>
      </c>
      <c r="F2539" s="1" t="str">
        <f>IFERROR(__xludf.DUMMYFUNCTION("GOOGLETRANSLATE(E2539, ""zh-CN"", ""en"")"),"Shiguang District")</f>
        <v>Shiguang District</v>
      </c>
      <c r="G2539" s="1">
        <v>1.50205E11</v>
      </c>
    </row>
    <row r="2540">
      <c r="A2540" s="1" t="s">
        <v>2305</v>
      </c>
      <c r="B2540" s="1" t="str">
        <f>IFERROR(__xludf.DUMMYFUNCTION("GOOGLETRANSLATE(A2466, ""zh-CN"", ""en"")"),"Henan Province")</f>
        <v>Henan Province</v>
      </c>
      <c r="C2540" s="1" t="s">
        <v>2307</v>
      </c>
      <c r="D2540" s="1" t="str">
        <f>IFERROR(__xludf.DUMMYFUNCTION("GOOGLETRANSLATE(C2540, ""zh-CN"", ""en"")"),"Baotou City")</f>
        <v>Baotou City</v>
      </c>
      <c r="E2540" s="1" t="s">
        <v>2332</v>
      </c>
      <c r="F2540" s="1" t="str">
        <f>IFERROR(__xludf.DUMMYFUNCTION("GOOGLETRANSLATE(E2540, ""zh-CN"", ""en"")"),"Baiyun Ebo Mining Area")</f>
        <v>Baiyun Ebo Mining Area</v>
      </c>
      <c r="G2540" s="1">
        <v>1.50206E11</v>
      </c>
    </row>
    <row r="2541">
      <c r="A2541" s="1" t="s">
        <v>2305</v>
      </c>
      <c r="B2541" s="1" t="str">
        <f>IFERROR(__xludf.DUMMYFUNCTION("GOOGLETRANSLATE(A2467, ""zh-CN"", ""en"")"),"Henan Province")</f>
        <v>Henan Province</v>
      </c>
      <c r="C2541" s="1" t="s">
        <v>2307</v>
      </c>
      <c r="D2541" s="1" t="str">
        <f>IFERROR(__xludf.DUMMYFUNCTION("GOOGLETRANSLATE(C2541, ""zh-CN"", ""en"")"),"Baotou City")</f>
        <v>Baotou City</v>
      </c>
      <c r="E2541" s="1" t="s">
        <v>2333</v>
      </c>
      <c r="F2541" s="1" t="str">
        <f>IFERROR(__xludf.DUMMYFUNCTION("GOOGLETRANSLATE(E2541, ""zh-CN"", ""en"")"),"Jiutihara District")</f>
        <v>Jiutihara District</v>
      </c>
      <c r="G2541" s="1">
        <v>1.50207E11</v>
      </c>
    </row>
    <row r="2542">
      <c r="A2542" s="1" t="s">
        <v>2305</v>
      </c>
      <c r="B2542" s="1" t="str">
        <f>IFERROR(__xludf.DUMMYFUNCTION("GOOGLETRANSLATE(A2468, ""zh-CN"", ""en"")"),"Henan Province")</f>
        <v>Henan Province</v>
      </c>
      <c r="C2542" s="1" t="s">
        <v>2307</v>
      </c>
      <c r="D2542" s="1" t="str">
        <f>IFERROR(__xludf.DUMMYFUNCTION("GOOGLETRANSLATE(C2542, ""zh-CN"", ""en"")"),"Baotou City")</f>
        <v>Baotou City</v>
      </c>
      <c r="E2542" s="1" t="s">
        <v>2334</v>
      </c>
      <c r="F2542" s="1" t="str">
        <f>IFERROR(__xludf.DUMMYFUNCTION("GOOGLETRANSLATE(E2542, ""zh-CN"", ""en"")"),"Turkom Right Banner")</f>
        <v>Turkom Right Banner</v>
      </c>
      <c r="G2542" s="1">
        <v>1.50221E11</v>
      </c>
    </row>
    <row r="2543">
      <c r="A2543" s="1" t="s">
        <v>2305</v>
      </c>
      <c r="B2543" s="1" t="str">
        <f>IFERROR(__xludf.DUMMYFUNCTION("GOOGLETRANSLATE(A2469, ""zh-CN"", ""en"")"),"Henan Province")</f>
        <v>Henan Province</v>
      </c>
      <c r="C2543" s="1" t="s">
        <v>2307</v>
      </c>
      <c r="D2543" s="1" t="str">
        <f>IFERROR(__xludf.DUMMYFUNCTION("GOOGLETRANSLATE(C2543, ""zh-CN"", ""en"")"),"Baotou City")</f>
        <v>Baotou City</v>
      </c>
      <c r="E2543" s="1" t="s">
        <v>2335</v>
      </c>
      <c r="F2543" s="1" t="str">
        <f>IFERROR(__xludf.DUMMYFUNCTION("GOOGLETRANSLATE(E2543, ""zh-CN"", ""en"")"),"Guyang County")</f>
        <v>Guyang County</v>
      </c>
      <c r="G2543" s="1">
        <v>1.50222E11</v>
      </c>
    </row>
    <row r="2544">
      <c r="A2544" s="1" t="s">
        <v>2305</v>
      </c>
      <c r="B2544" s="1" t="str">
        <f>IFERROR(__xludf.DUMMYFUNCTION("GOOGLETRANSLATE(A2470, ""zh-CN"", ""en"")"),"Henan Province")</f>
        <v>Henan Province</v>
      </c>
      <c r="C2544" s="1" t="s">
        <v>2307</v>
      </c>
      <c r="D2544" s="1" t="str">
        <f>IFERROR(__xludf.DUMMYFUNCTION("GOOGLETRANSLATE(C2544, ""zh-CN"", ""en"")"),"Baotou City")</f>
        <v>Baotou City</v>
      </c>
      <c r="E2544" s="1" t="s">
        <v>2336</v>
      </c>
      <c r="F2544" s="1" t="str">
        <f>IFERROR(__xludf.DUMMYFUNCTION("GOOGLETRANSLATE(E2544, ""zh-CN"", ""en"")"),"Darhamima Mingan Union Flag")</f>
        <v>Darhamima Mingan Union Flag</v>
      </c>
      <c r="G2544" s="1">
        <v>1.50223E11</v>
      </c>
    </row>
    <row r="2545">
      <c r="A2545" s="1" t="s">
        <v>2305</v>
      </c>
      <c r="B2545" s="1" t="str">
        <f>IFERROR(__xludf.DUMMYFUNCTION("GOOGLETRANSLATE(A2471, ""zh-CN"", ""en"")"),"Henan Province")</f>
        <v>Henan Province</v>
      </c>
      <c r="C2545" s="1" t="s">
        <v>2307</v>
      </c>
      <c r="D2545" s="1" t="str">
        <f>IFERROR(__xludf.DUMMYFUNCTION("GOOGLETRANSLATE(C2545, ""zh-CN"", ""en"")"),"Baotou City")</f>
        <v>Baotou City</v>
      </c>
      <c r="E2545" s="1" t="s">
        <v>2337</v>
      </c>
      <c r="F2545" s="1" t="str">
        <f>IFERROR(__xludf.DUMMYFUNCTION("GOOGLETRANSLATE(E2545, ""zh-CN"", ""en"")"),"Baotou Rare Earth High -tech Industrial Development Zone")</f>
        <v>Baotou Rare Earth High -tech Industrial Development Zone</v>
      </c>
      <c r="G2545" s="1">
        <v>1.50271E11</v>
      </c>
    </row>
    <row r="2546">
      <c r="A2546" s="1" t="s">
        <v>2305</v>
      </c>
      <c r="B2546" s="1" t="str">
        <f>IFERROR(__xludf.DUMMYFUNCTION("GOOGLETRANSLATE(A2472, ""zh-CN"", ""en"")"),"Henan Province")</f>
        <v>Henan Province</v>
      </c>
      <c r="C2546" s="1" t="s">
        <v>2308</v>
      </c>
      <c r="D2546" s="1" t="str">
        <f>IFERROR(__xludf.DUMMYFUNCTION("GOOGLETRANSLATE(C2546, ""zh-CN"", ""en"")"),"Wuhai City")</f>
        <v>Wuhai City</v>
      </c>
      <c r="E2546" s="1" t="s">
        <v>24</v>
      </c>
      <c r="F2546" s="1" t="str">
        <f>IFERROR(__xludf.DUMMYFUNCTION("GOOGLETRANSLATE(E2546, ""zh-CN"", ""en"")"),"City area")</f>
        <v>City area</v>
      </c>
      <c r="G2546" s="1">
        <v>1.50301E11</v>
      </c>
    </row>
    <row r="2547">
      <c r="A2547" s="1" t="s">
        <v>2305</v>
      </c>
      <c r="B2547" s="1" t="str">
        <f>IFERROR(__xludf.DUMMYFUNCTION("GOOGLETRANSLATE(A2473, ""zh-CN"", ""en"")"),"Henan Province")</f>
        <v>Henan Province</v>
      </c>
      <c r="C2547" s="1" t="s">
        <v>2308</v>
      </c>
      <c r="D2547" s="1" t="str">
        <f>IFERROR(__xludf.DUMMYFUNCTION("GOOGLETRANSLATE(C2547, ""zh-CN"", ""en"")"),"Wuhai City")</f>
        <v>Wuhai City</v>
      </c>
      <c r="E2547" s="1" t="s">
        <v>2338</v>
      </c>
      <c r="F2547" s="1" t="str">
        <f>IFERROR(__xludf.DUMMYFUNCTION("GOOGLETRANSLATE(E2547, ""zh-CN"", ""en"")"),"Hai Bay Bay Area")</f>
        <v>Hai Bay Bay Area</v>
      </c>
      <c r="G2547" s="1">
        <v>1.50302E11</v>
      </c>
    </row>
    <row r="2548">
      <c r="A2548" s="1" t="s">
        <v>2305</v>
      </c>
      <c r="B2548" s="1" t="str">
        <f>IFERROR(__xludf.DUMMYFUNCTION("GOOGLETRANSLATE(A2474, ""zh-CN"", ""en"")"),"Henan Province")</f>
        <v>Henan Province</v>
      </c>
      <c r="C2548" s="1" t="s">
        <v>2308</v>
      </c>
      <c r="D2548" s="1" t="str">
        <f>IFERROR(__xludf.DUMMYFUNCTION("GOOGLETRANSLATE(C2548, ""zh-CN"", ""en"")"),"Wuhai City")</f>
        <v>Wuhai City</v>
      </c>
      <c r="E2548" s="1" t="s">
        <v>2339</v>
      </c>
      <c r="F2548" s="1" t="str">
        <f>IFERROR(__xludf.DUMMYFUNCTION("GOOGLETRANSLATE(E2548, ""zh-CN"", ""en"")"),"Hainan")</f>
        <v>Hainan</v>
      </c>
      <c r="G2548" s="1">
        <v>1.50303E11</v>
      </c>
    </row>
    <row r="2549">
      <c r="A2549" s="1" t="s">
        <v>2305</v>
      </c>
      <c r="B2549" s="1" t="str">
        <f>IFERROR(__xludf.DUMMYFUNCTION("GOOGLETRANSLATE(A2475, ""zh-CN"", ""en"")"),"Henan Province")</f>
        <v>Henan Province</v>
      </c>
      <c r="C2549" s="1" t="s">
        <v>2308</v>
      </c>
      <c r="D2549" s="1" t="str">
        <f>IFERROR(__xludf.DUMMYFUNCTION("GOOGLETRANSLATE(C2549, ""zh-CN"", ""en"")"),"Wuhai City")</f>
        <v>Wuhai City</v>
      </c>
      <c r="E2549" s="1" t="s">
        <v>2340</v>
      </c>
      <c r="F2549" s="1" t="str">
        <f>IFERROR(__xludf.DUMMYFUNCTION("GOOGLETRANSLATE(E2549, ""zh-CN"", ""en"")"),"Wuda District")</f>
        <v>Wuda District</v>
      </c>
      <c r="G2549" s="1">
        <v>1.50304E11</v>
      </c>
    </row>
    <row r="2550">
      <c r="A2550" s="1" t="s">
        <v>2305</v>
      </c>
      <c r="B2550" s="1" t="str">
        <f>IFERROR(__xludf.DUMMYFUNCTION("GOOGLETRANSLATE(A2476, ""zh-CN"", ""en"")"),"Henan Province")</f>
        <v>Henan Province</v>
      </c>
      <c r="C2550" s="1" t="s">
        <v>2309</v>
      </c>
      <c r="D2550" s="1" t="str">
        <f>IFERROR(__xludf.DUMMYFUNCTION("GOOGLETRANSLATE(C2550, ""zh-CN"", ""en"")"),"Chifeng City")</f>
        <v>Chifeng City</v>
      </c>
      <c r="E2550" s="1" t="s">
        <v>24</v>
      </c>
      <c r="F2550" s="1" t="str">
        <f>IFERROR(__xludf.DUMMYFUNCTION("GOOGLETRANSLATE(E2550, ""zh-CN"", ""en"")"),"City area")</f>
        <v>City area</v>
      </c>
      <c r="G2550" s="1">
        <v>1.50401E11</v>
      </c>
    </row>
    <row r="2551">
      <c r="A2551" s="1" t="s">
        <v>2305</v>
      </c>
      <c r="B2551" s="1" t="str">
        <f>IFERROR(__xludf.DUMMYFUNCTION("GOOGLETRANSLATE(A2477, ""zh-CN"", ""en"")"),"Henan Province")</f>
        <v>Henan Province</v>
      </c>
      <c r="C2551" s="1" t="s">
        <v>2309</v>
      </c>
      <c r="D2551" s="1" t="str">
        <f>IFERROR(__xludf.DUMMYFUNCTION("GOOGLETRANSLATE(C2551, ""zh-CN"", ""en"")"),"Chifeng City")</f>
        <v>Chifeng City</v>
      </c>
      <c r="E2551" s="1" t="s">
        <v>2341</v>
      </c>
      <c r="F2551" s="1" t="str">
        <f>IFERROR(__xludf.DUMMYFUNCTION("GOOGLETRANSLATE(E2551, ""zh-CN"", ""en"")"),"Hongshan District")</f>
        <v>Hongshan District</v>
      </c>
      <c r="G2551" s="1">
        <v>1.50402E11</v>
      </c>
    </row>
    <row r="2552">
      <c r="A2552" s="1" t="s">
        <v>2305</v>
      </c>
      <c r="B2552" s="1" t="str">
        <f>IFERROR(__xludf.DUMMYFUNCTION("GOOGLETRANSLATE(A2478, ""zh-CN"", ""en"")"),"Henan Province")</f>
        <v>Henan Province</v>
      </c>
      <c r="C2552" s="1" t="s">
        <v>2309</v>
      </c>
      <c r="D2552" s="1" t="str">
        <f>IFERROR(__xludf.DUMMYFUNCTION("GOOGLETRANSLATE(C2552, ""zh-CN"", ""en"")"),"Chifeng City")</f>
        <v>Chifeng City</v>
      </c>
      <c r="E2552" s="1" t="s">
        <v>2342</v>
      </c>
      <c r="F2552" s="1" t="str">
        <f>IFERROR(__xludf.DUMMYFUNCTION("GOOGLETRANSLATE(E2552, ""zh-CN"", ""en"")"),"Yuanbao Mountain District")</f>
        <v>Yuanbao Mountain District</v>
      </c>
      <c r="G2552" s="1">
        <v>1.50403E11</v>
      </c>
    </row>
    <row r="2553">
      <c r="A2553" s="1" t="s">
        <v>2305</v>
      </c>
      <c r="B2553" s="1" t="str">
        <f>IFERROR(__xludf.DUMMYFUNCTION("GOOGLETRANSLATE(A2479, ""zh-CN"", ""en"")"),"Henan Province")</f>
        <v>Henan Province</v>
      </c>
      <c r="C2553" s="1" t="s">
        <v>2309</v>
      </c>
      <c r="D2553" s="1" t="str">
        <f>IFERROR(__xludf.DUMMYFUNCTION("GOOGLETRANSLATE(C2553, ""zh-CN"", ""en"")"),"Chifeng City")</f>
        <v>Chifeng City</v>
      </c>
      <c r="E2553" s="1" t="s">
        <v>2343</v>
      </c>
      <c r="F2553" s="1" t="str">
        <f>IFERROR(__xludf.DUMMYFUNCTION("GOOGLETRANSLATE(E2553, ""zh-CN"", ""en"")"),"Songshan District")</f>
        <v>Songshan District</v>
      </c>
      <c r="G2553" s="1">
        <v>1.50404E11</v>
      </c>
    </row>
    <row r="2554">
      <c r="A2554" s="1" t="s">
        <v>2305</v>
      </c>
      <c r="B2554" s="1" t="str">
        <f>IFERROR(__xludf.DUMMYFUNCTION("GOOGLETRANSLATE(A2480, ""zh-CN"", ""en"")"),"Henan Province")</f>
        <v>Henan Province</v>
      </c>
      <c r="C2554" s="1" t="s">
        <v>2309</v>
      </c>
      <c r="D2554" s="1" t="str">
        <f>IFERROR(__xludf.DUMMYFUNCTION("GOOGLETRANSLATE(C2554, ""zh-CN"", ""en"")"),"Chifeng City")</f>
        <v>Chifeng City</v>
      </c>
      <c r="E2554" s="1" t="s">
        <v>2344</v>
      </c>
      <c r="F2554" s="1" t="str">
        <f>IFERROR(__xludf.DUMMYFUNCTION("GOOGLETRANSLATE(E2554, ""zh-CN"", ""en"")"),"Arukorqin Banner")</f>
        <v>Arukorqin Banner</v>
      </c>
      <c r="G2554" s="1">
        <v>1.50421E11</v>
      </c>
    </row>
    <row r="2555">
      <c r="A2555" s="1" t="s">
        <v>2305</v>
      </c>
      <c r="B2555" s="1" t="str">
        <f>IFERROR(__xludf.DUMMYFUNCTION("GOOGLETRANSLATE(A2481, ""zh-CN"", ""en"")"),"Henan Province")</f>
        <v>Henan Province</v>
      </c>
      <c r="C2555" s="1" t="s">
        <v>2309</v>
      </c>
      <c r="D2555" s="1" t="str">
        <f>IFERROR(__xludf.DUMMYFUNCTION("GOOGLETRANSLATE(C2555, ""zh-CN"", ""en"")"),"Chifeng City")</f>
        <v>Chifeng City</v>
      </c>
      <c r="E2555" s="1" t="s">
        <v>2345</v>
      </c>
      <c r="F2555" s="1" t="str">
        <f>IFERROR(__xludf.DUMMYFUNCTION("GOOGLETRANSLATE(E2555, ""zh-CN"", ""en"")"),"Balin Zuoqi")</f>
        <v>Balin Zuoqi</v>
      </c>
      <c r="G2555" s="1">
        <v>1.50422E11</v>
      </c>
    </row>
    <row r="2556">
      <c r="A2556" s="1" t="s">
        <v>2305</v>
      </c>
      <c r="B2556" s="1" t="str">
        <f>IFERROR(__xludf.DUMMYFUNCTION("GOOGLETRANSLATE(A2482, ""zh-CN"", ""en"")"),"Henan Province")</f>
        <v>Henan Province</v>
      </c>
      <c r="C2556" s="1" t="s">
        <v>2309</v>
      </c>
      <c r="D2556" s="1" t="str">
        <f>IFERROR(__xludf.DUMMYFUNCTION("GOOGLETRANSLATE(C2556, ""zh-CN"", ""en"")"),"Chifeng City")</f>
        <v>Chifeng City</v>
      </c>
      <c r="E2556" s="1" t="s">
        <v>2346</v>
      </c>
      <c r="F2556" s="1" t="str">
        <f>IFERROR(__xludf.DUMMYFUNCTION("GOOGLETRANSLATE(E2556, ""zh-CN"", ""en"")"),"Barin Right Banner")</f>
        <v>Barin Right Banner</v>
      </c>
      <c r="G2556" s="1">
        <v>1.50423E11</v>
      </c>
    </row>
    <row r="2557">
      <c r="A2557" s="1" t="s">
        <v>2305</v>
      </c>
      <c r="B2557" s="1" t="str">
        <f>IFERROR(__xludf.DUMMYFUNCTION("GOOGLETRANSLATE(A2483, ""zh-CN"", ""en"")"),"Henan Province")</f>
        <v>Henan Province</v>
      </c>
      <c r="C2557" s="1" t="s">
        <v>2309</v>
      </c>
      <c r="D2557" s="1" t="str">
        <f>IFERROR(__xludf.DUMMYFUNCTION("GOOGLETRANSLATE(C2557, ""zh-CN"", ""en"")"),"Chifeng City")</f>
        <v>Chifeng City</v>
      </c>
      <c r="E2557" s="1" t="s">
        <v>2347</v>
      </c>
      <c r="F2557" s="1" t="str">
        <f>IFERROR(__xludf.DUMMYFUNCTION("GOOGLETRANSLATE(E2557, ""zh-CN"", ""en"")"),"Linxi County")</f>
        <v>Linxi County</v>
      </c>
      <c r="G2557" s="1">
        <v>1.50424E11</v>
      </c>
    </row>
    <row r="2558">
      <c r="A2558" s="1" t="s">
        <v>2305</v>
      </c>
      <c r="B2558" s="1" t="str">
        <f>IFERROR(__xludf.DUMMYFUNCTION("GOOGLETRANSLATE(A2484, ""zh-CN"", ""en"")"),"Henan Province")</f>
        <v>Henan Province</v>
      </c>
      <c r="C2558" s="1" t="s">
        <v>2309</v>
      </c>
      <c r="D2558" s="1" t="str">
        <f>IFERROR(__xludf.DUMMYFUNCTION("GOOGLETRANSLATE(C2558, ""zh-CN"", ""en"")"),"Chifeng City")</f>
        <v>Chifeng City</v>
      </c>
      <c r="E2558" s="1" t="s">
        <v>2348</v>
      </c>
      <c r="F2558" s="1" t="str">
        <f>IFERROR(__xludf.DUMMYFUNCTION("GOOGLETRANSLATE(E2558, ""zh-CN"", ""en"")"),"Kashkteng Banner")</f>
        <v>Kashkteng Banner</v>
      </c>
      <c r="G2558" s="1">
        <v>1.50425E11</v>
      </c>
    </row>
    <row r="2559">
      <c r="A2559" s="1" t="s">
        <v>2305</v>
      </c>
      <c r="B2559" s="1" t="str">
        <f>IFERROR(__xludf.DUMMYFUNCTION("GOOGLETRANSLATE(A2485, ""zh-CN"", ""en"")"),"Henan Province")</f>
        <v>Henan Province</v>
      </c>
      <c r="C2559" s="1" t="s">
        <v>2309</v>
      </c>
      <c r="D2559" s="1" t="str">
        <f>IFERROR(__xludf.DUMMYFUNCTION("GOOGLETRANSLATE(C2559, ""zh-CN"", ""en"")"),"Chifeng City")</f>
        <v>Chifeng City</v>
      </c>
      <c r="E2559" s="1" t="s">
        <v>2349</v>
      </c>
      <c r="F2559" s="1" t="str">
        <f>IFERROR(__xludf.DUMMYFUNCTION("GOOGLETRANSLATE(E2559, ""zh-CN"", ""en"")"),"Weng Niuteqi")</f>
        <v>Weng Niuteqi</v>
      </c>
      <c r="G2559" s="1">
        <v>1.50426E11</v>
      </c>
    </row>
    <row r="2560">
      <c r="A2560" s="1" t="s">
        <v>2305</v>
      </c>
      <c r="B2560" s="1" t="str">
        <f>IFERROR(__xludf.DUMMYFUNCTION("GOOGLETRANSLATE(A2486, ""zh-CN"", ""en"")"),"Henan Province")</f>
        <v>Henan Province</v>
      </c>
      <c r="C2560" s="1" t="s">
        <v>2309</v>
      </c>
      <c r="D2560" s="1" t="str">
        <f>IFERROR(__xludf.DUMMYFUNCTION("GOOGLETRANSLATE(C2560, ""zh-CN"", ""en"")"),"Chifeng City")</f>
        <v>Chifeng City</v>
      </c>
      <c r="E2560" s="1" t="s">
        <v>2350</v>
      </c>
      <c r="F2560" s="1" t="str">
        <f>IFERROR(__xludf.DUMMYFUNCTION("GOOGLETRANSLATE(E2560, ""zh-CN"", ""en"")"),"Karaqinqi")</f>
        <v>Karaqinqi</v>
      </c>
      <c r="G2560" s="1">
        <v>1.50428E11</v>
      </c>
    </row>
    <row r="2561">
      <c r="A2561" s="1" t="s">
        <v>2305</v>
      </c>
      <c r="B2561" s="1" t="str">
        <f>IFERROR(__xludf.DUMMYFUNCTION("GOOGLETRANSLATE(A2487, ""zh-CN"", ""en"")"),"Henan Province")</f>
        <v>Henan Province</v>
      </c>
      <c r="C2561" s="1" t="s">
        <v>2309</v>
      </c>
      <c r="D2561" s="1" t="str">
        <f>IFERROR(__xludf.DUMMYFUNCTION("GOOGLETRANSLATE(C2561, ""zh-CN"", ""en"")"),"Chifeng City")</f>
        <v>Chifeng City</v>
      </c>
      <c r="E2561" s="1" t="s">
        <v>2351</v>
      </c>
      <c r="F2561" s="1" t="str">
        <f>IFERROR(__xludf.DUMMYFUNCTION("GOOGLETRANSLATE(E2561, ""zh-CN"", ""en"")"),"Ningcheng County")</f>
        <v>Ningcheng County</v>
      </c>
      <c r="G2561" s="1">
        <v>1.50429E11</v>
      </c>
    </row>
    <row r="2562">
      <c r="A2562" s="1" t="s">
        <v>2305</v>
      </c>
      <c r="B2562" s="1" t="str">
        <f>IFERROR(__xludf.DUMMYFUNCTION("GOOGLETRANSLATE(A2488, ""zh-CN"", ""en"")"),"Henan Province")</f>
        <v>Henan Province</v>
      </c>
      <c r="C2562" s="1" t="s">
        <v>2309</v>
      </c>
      <c r="D2562" s="1" t="str">
        <f>IFERROR(__xludf.DUMMYFUNCTION("GOOGLETRANSLATE(C2562, ""zh-CN"", ""en"")"),"Chifeng City")</f>
        <v>Chifeng City</v>
      </c>
      <c r="E2562" s="1" t="s">
        <v>2352</v>
      </c>
      <c r="F2562" s="1" t="str">
        <f>IFERROR(__xludf.DUMMYFUNCTION("GOOGLETRANSLATE(E2562, ""zh-CN"", ""en"")"),"Aohan Banner")</f>
        <v>Aohan Banner</v>
      </c>
      <c r="G2562" s="1">
        <v>1.5043E11</v>
      </c>
    </row>
    <row r="2563">
      <c r="A2563" s="1" t="s">
        <v>2305</v>
      </c>
      <c r="B2563" s="1" t="str">
        <f>IFERROR(__xludf.DUMMYFUNCTION("GOOGLETRANSLATE(A2489, ""zh-CN"", ""en"")"),"Henan Province")</f>
        <v>Henan Province</v>
      </c>
      <c r="C2563" s="1" t="s">
        <v>2310</v>
      </c>
      <c r="D2563" s="1" t="str">
        <f>IFERROR(__xludf.DUMMYFUNCTION("GOOGLETRANSLATE(C2563, ""zh-CN"", ""en"")"),"Tongliao City")</f>
        <v>Tongliao City</v>
      </c>
      <c r="E2563" s="1" t="s">
        <v>24</v>
      </c>
      <c r="F2563" s="1" t="str">
        <f>IFERROR(__xludf.DUMMYFUNCTION("GOOGLETRANSLATE(E2563, ""zh-CN"", ""en"")"),"City area")</f>
        <v>City area</v>
      </c>
      <c r="G2563" s="1">
        <v>1.50501E11</v>
      </c>
    </row>
    <row r="2564">
      <c r="A2564" s="1" t="s">
        <v>2305</v>
      </c>
      <c r="B2564" s="1" t="str">
        <f>IFERROR(__xludf.DUMMYFUNCTION("GOOGLETRANSLATE(A2490, ""zh-CN"", ""en"")"),"Henan Province")</f>
        <v>Henan Province</v>
      </c>
      <c r="C2564" s="1" t="s">
        <v>2310</v>
      </c>
      <c r="D2564" s="1" t="str">
        <f>IFERROR(__xludf.DUMMYFUNCTION("GOOGLETRANSLATE(C2564, ""zh-CN"", ""en"")"),"Tongliao City")</f>
        <v>Tongliao City</v>
      </c>
      <c r="E2564" s="1" t="s">
        <v>2353</v>
      </c>
      <c r="F2564" s="1" t="str">
        <f>IFERROR(__xludf.DUMMYFUNCTION("GOOGLETRANSLATE(E2564, ""zh-CN"", ""en"")"),"Corin District")</f>
        <v>Corin District</v>
      </c>
      <c r="G2564" s="1">
        <v>1.50502E11</v>
      </c>
    </row>
    <row r="2565">
      <c r="A2565" s="1" t="s">
        <v>2305</v>
      </c>
      <c r="B2565" s="1" t="str">
        <f>IFERROR(__xludf.DUMMYFUNCTION("GOOGLETRANSLATE(A2491, ""zh-CN"", ""en"")"),"Henan Province")</f>
        <v>Henan Province</v>
      </c>
      <c r="C2565" s="1" t="s">
        <v>2310</v>
      </c>
      <c r="D2565" s="1" t="str">
        <f>IFERROR(__xludf.DUMMYFUNCTION("GOOGLETRANSLATE(C2565, ""zh-CN"", ""en"")"),"Tongliao City")</f>
        <v>Tongliao City</v>
      </c>
      <c r="E2565" s="1" t="s">
        <v>2354</v>
      </c>
      <c r="F2565" s="1" t="str">
        <f>IFERROR(__xludf.DUMMYFUNCTION("GOOGLETRANSLATE(E2565, ""zh-CN"", ""en"")"),"Korqin's left wing Zhongqi")</f>
        <v>Korqin's left wing Zhongqi</v>
      </c>
      <c r="G2565" s="1">
        <v>1.50521E11</v>
      </c>
    </row>
    <row r="2566">
      <c r="A2566" s="1" t="s">
        <v>2305</v>
      </c>
      <c r="B2566" s="1" t="str">
        <f>IFERROR(__xludf.DUMMYFUNCTION("GOOGLETRANSLATE(A2492, ""zh-CN"", ""en"")"),"Henan Province")</f>
        <v>Henan Province</v>
      </c>
      <c r="C2566" s="1" t="s">
        <v>2310</v>
      </c>
      <c r="D2566" s="1" t="str">
        <f>IFERROR(__xludf.DUMMYFUNCTION("GOOGLETRANSLATE(C2566, ""zh-CN"", ""en"")"),"Tongliao City")</f>
        <v>Tongliao City</v>
      </c>
      <c r="E2566" s="1" t="s">
        <v>2355</v>
      </c>
      <c r="F2566" s="1" t="str">
        <f>IFERROR(__xludf.DUMMYFUNCTION("GOOGLETRANSLATE(E2566, ""zh-CN"", ""en"")"),"Korqin's left wing back flag")</f>
        <v>Korqin's left wing back flag</v>
      </c>
      <c r="G2566" s="1">
        <v>1.50522E11</v>
      </c>
    </row>
    <row r="2567">
      <c r="A2567" s="1" t="s">
        <v>2305</v>
      </c>
      <c r="B2567" s="1" t="str">
        <f>IFERROR(__xludf.DUMMYFUNCTION("GOOGLETRANSLATE(A2493, ""zh-CN"", ""en"")"),"Henan Province")</f>
        <v>Henan Province</v>
      </c>
      <c r="C2567" s="1" t="s">
        <v>2310</v>
      </c>
      <c r="D2567" s="1" t="str">
        <f>IFERROR(__xludf.DUMMYFUNCTION("GOOGLETRANSLATE(C2567, ""zh-CN"", ""en"")"),"Tongliao City")</f>
        <v>Tongliao City</v>
      </c>
      <c r="E2567" s="1" t="s">
        <v>2356</v>
      </c>
      <c r="F2567" s="1" t="str">
        <f>IFERROR(__xludf.DUMMYFUNCTION("GOOGLETRANSLATE(E2567, ""zh-CN"", ""en"")"),"Kailu County")</f>
        <v>Kailu County</v>
      </c>
      <c r="G2567" s="1">
        <v>1.50523E11</v>
      </c>
    </row>
    <row r="2568">
      <c r="A2568" s="1" t="s">
        <v>2305</v>
      </c>
      <c r="B2568" s="1" t="str">
        <f>IFERROR(__xludf.DUMMYFUNCTION("GOOGLETRANSLATE(A2494, ""zh-CN"", ""en"")"),"Henan Province")</f>
        <v>Henan Province</v>
      </c>
      <c r="C2568" s="1" t="s">
        <v>2310</v>
      </c>
      <c r="D2568" s="1" t="str">
        <f>IFERROR(__xludf.DUMMYFUNCTION("GOOGLETRANSLATE(C2568, ""zh-CN"", ""en"")"),"Tongliao City")</f>
        <v>Tongliao City</v>
      </c>
      <c r="E2568" s="1" t="s">
        <v>2357</v>
      </c>
      <c r="F2568" s="1" t="str">
        <f>IFERROR(__xludf.DUMMYFUNCTION("GOOGLETRANSLATE(E2568, ""zh-CN"", ""en"")"),"Kuron Banner")</f>
        <v>Kuron Banner</v>
      </c>
      <c r="G2568" s="1">
        <v>1.50524E11</v>
      </c>
    </row>
    <row r="2569">
      <c r="A2569" s="1" t="s">
        <v>2305</v>
      </c>
      <c r="B2569" s="1" t="str">
        <f>IFERROR(__xludf.DUMMYFUNCTION("GOOGLETRANSLATE(A2495, ""zh-CN"", ""en"")"),"Henan Province")</f>
        <v>Henan Province</v>
      </c>
      <c r="C2569" s="1" t="s">
        <v>2310</v>
      </c>
      <c r="D2569" s="1" t="str">
        <f>IFERROR(__xludf.DUMMYFUNCTION("GOOGLETRANSLATE(C2569, ""zh-CN"", ""en"")"),"Tongliao City")</f>
        <v>Tongliao City</v>
      </c>
      <c r="E2569" s="1" t="s">
        <v>2358</v>
      </c>
      <c r="F2569" s="1" t="str">
        <f>IFERROR(__xludf.DUMMYFUNCTION("GOOGLETRANSLATE(E2569, ""zh-CN"", ""en"")"),"Naiman Banner")</f>
        <v>Naiman Banner</v>
      </c>
      <c r="G2569" s="1">
        <v>1.50525E11</v>
      </c>
    </row>
    <row r="2570">
      <c r="A2570" s="1" t="s">
        <v>2305</v>
      </c>
      <c r="B2570" s="1" t="str">
        <f>IFERROR(__xludf.DUMMYFUNCTION("GOOGLETRANSLATE(A2496, ""zh-CN"", ""en"")"),"Henan Province")</f>
        <v>Henan Province</v>
      </c>
      <c r="C2570" s="1" t="s">
        <v>2310</v>
      </c>
      <c r="D2570" s="1" t="str">
        <f>IFERROR(__xludf.DUMMYFUNCTION("GOOGLETRANSLATE(C2570, ""zh-CN"", ""en"")"),"Tongliao City")</f>
        <v>Tongliao City</v>
      </c>
      <c r="E2570" s="1" t="s">
        <v>2359</v>
      </c>
      <c r="F2570" s="1" t="str">
        <f>IFERROR(__xludf.DUMMYFUNCTION("GOOGLETRANSLATE(E2570, ""zh-CN"", ""en"")"),"Zarut Banner")</f>
        <v>Zarut Banner</v>
      </c>
      <c r="G2570" s="1">
        <v>1.50526E11</v>
      </c>
    </row>
    <row r="2571">
      <c r="A2571" s="1" t="s">
        <v>2305</v>
      </c>
      <c r="B2571" s="1" t="str">
        <f>IFERROR(__xludf.DUMMYFUNCTION("GOOGLETRANSLATE(A2497, ""zh-CN"", ""en"")"),"Henan Province")</f>
        <v>Henan Province</v>
      </c>
      <c r="C2571" s="1" t="s">
        <v>2310</v>
      </c>
      <c r="D2571" s="1" t="str">
        <f>IFERROR(__xludf.DUMMYFUNCTION("GOOGLETRANSLATE(C2571, ""zh-CN"", ""en"")"),"Tongliao City")</f>
        <v>Tongliao City</v>
      </c>
      <c r="E2571" s="1" t="s">
        <v>2360</v>
      </c>
      <c r="F2571" s="1" t="str">
        <f>IFERROR(__xludf.DUMMYFUNCTION("GOOGLETRANSLATE(E2571, ""zh-CN"", ""en"")"),"Tongliao Economic and Technological Development Zone")</f>
        <v>Tongliao Economic and Technological Development Zone</v>
      </c>
      <c r="G2571" s="1">
        <v>1.50571E11</v>
      </c>
    </row>
    <row r="2572">
      <c r="A2572" s="1" t="s">
        <v>2305</v>
      </c>
      <c r="B2572" s="1" t="str">
        <f>IFERROR(__xludf.DUMMYFUNCTION("GOOGLETRANSLATE(A2498, ""zh-CN"", ""en"")"),"Henan Province")</f>
        <v>Henan Province</v>
      </c>
      <c r="C2572" s="1" t="s">
        <v>2310</v>
      </c>
      <c r="D2572" s="1" t="str">
        <f>IFERROR(__xludf.DUMMYFUNCTION("GOOGLETRANSLATE(C2572, ""zh-CN"", ""en"")"),"Tongliao City")</f>
        <v>Tongliao City</v>
      </c>
      <c r="E2572" s="1" t="s">
        <v>2361</v>
      </c>
      <c r="F2572" s="1" t="str">
        <f>IFERROR(__xludf.DUMMYFUNCTION("GOOGLETRANSLATE(E2572, ""zh-CN"", ""en"")"),"Huolin Guole City")</f>
        <v>Huolin Guole City</v>
      </c>
      <c r="G2572" s="1">
        <v>1.50581E11</v>
      </c>
    </row>
    <row r="2573">
      <c r="A2573" s="1" t="s">
        <v>2305</v>
      </c>
      <c r="B2573" s="1" t="str">
        <f>IFERROR(__xludf.DUMMYFUNCTION("GOOGLETRANSLATE(A2499, ""zh-CN"", ""en"")"),"Henan Province")</f>
        <v>Henan Province</v>
      </c>
      <c r="C2573" s="1" t="s">
        <v>2311</v>
      </c>
      <c r="D2573" s="1" t="str">
        <f>IFERROR(__xludf.DUMMYFUNCTION("GOOGLETRANSLATE(C2573, ""zh-CN"", ""en"")"),"Ordos")</f>
        <v>Ordos</v>
      </c>
      <c r="E2573" s="1" t="s">
        <v>24</v>
      </c>
      <c r="F2573" s="1" t="str">
        <f>IFERROR(__xludf.DUMMYFUNCTION("GOOGLETRANSLATE(E2573, ""zh-CN"", ""en"")"),"City area")</f>
        <v>City area</v>
      </c>
      <c r="G2573" s="1">
        <v>1.50601E11</v>
      </c>
    </row>
    <row r="2574">
      <c r="A2574" s="1" t="s">
        <v>2305</v>
      </c>
      <c r="B2574" s="1" t="str">
        <f>IFERROR(__xludf.DUMMYFUNCTION("GOOGLETRANSLATE(A2500, ""zh-CN"", ""en"")"),"Henan Province")</f>
        <v>Henan Province</v>
      </c>
      <c r="C2574" s="1" t="s">
        <v>2311</v>
      </c>
      <c r="D2574" s="1" t="str">
        <f>IFERROR(__xludf.DUMMYFUNCTION("GOOGLETRANSLATE(C2574, ""zh-CN"", ""en"")"),"Ordos")</f>
        <v>Ordos</v>
      </c>
      <c r="E2574" s="1" t="s">
        <v>2362</v>
      </c>
      <c r="F2574" s="1" t="str">
        <f>IFERROR(__xludf.DUMMYFUNCTION("GOOGLETRANSLATE(E2574, ""zh-CN"", ""en"")"),"Dongsheng District")</f>
        <v>Dongsheng District</v>
      </c>
      <c r="G2574" s="1">
        <v>1.50602E11</v>
      </c>
    </row>
    <row r="2575">
      <c r="A2575" s="1" t="s">
        <v>2305</v>
      </c>
      <c r="B2575" s="1" t="str">
        <f>IFERROR(__xludf.DUMMYFUNCTION("GOOGLETRANSLATE(A2501, ""zh-CN"", ""en"")"),"Henan Province")</f>
        <v>Henan Province</v>
      </c>
      <c r="C2575" s="1" t="s">
        <v>2311</v>
      </c>
      <c r="D2575" s="1" t="str">
        <f>IFERROR(__xludf.DUMMYFUNCTION("GOOGLETRANSLATE(C2575, ""zh-CN"", ""en"")"),"Ordos")</f>
        <v>Ordos</v>
      </c>
      <c r="E2575" s="1" t="s">
        <v>2363</v>
      </c>
      <c r="F2575" s="1" t="str">
        <f>IFERROR(__xludf.DUMMYFUNCTION("GOOGLETRANSLATE(E2575, ""zh-CN"", ""en"")"),"Kangbashi District")</f>
        <v>Kangbashi District</v>
      </c>
      <c r="G2575" s="1">
        <v>1.50603E11</v>
      </c>
    </row>
    <row r="2576">
      <c r="A2576" s="1" t="s">
        <v>2305</v>
      </c>
      <c r="B2576" s="1" t="str">
        <f>IFERROR(__xludf.DUMMYFUNCTION("GOOGLETRANSLATE(A2502, ""zh-CN"", ""en"")"),"Henan Province")</f>
        <v>Henan Province</v>
      </c>
      <c r="C2576" s="1" t="s">
        <v>2311</v>
      </c>
      <c r="D2576" s="1" t="str">
        <f>IFERROR(__xludf.DUMMYFUNCTION("GOOGLETRANSLATE(C2576, ""zh-CN"", ""en"")"),"Ordos")</f>
        <v>Ordos</v>
      </c>
      <c r="E2576" s="1" t="s">
        <v>2364</v>
      </c>
      <c r="F2576" s="1" t="str">
        <f>IFERROR(__xludf.DUMMYFUNCTION("GOOGLETRANSLATE(E2576, ""zh-CN"", ""en"")"),"Dalat Banner")</f>
        <v>Dalat Banner</v>
      </c>
      <c r="G2576" s="1">
        <v>1.50621E11</v>
      </c>
    </row>
    <row r="2577">
      <c r="A2577" s="1" t="s">
        <v>2305</v>
      </c>
      <c r="B2577" s="1" t="str">
        <f>IFERROR(__xludf.DUMMYFUNCTION("GOOGLETRANSLATE(A2503, ""zh-CN"", ""en"")"),"Henan Province")</f>
        <v>Henan Province</v>
      </c>
      <c r="C2577" s="1" t="s">
        <v>2311</v>
      </c>
      <c r="D2577" s="1" t="str">
        <f>IFERROR(__xludf.DUMMYFUNCTION("GOOGLETRANSLATE(C2577, ""zh-CN"", ""en"")"),"Ordos")</f>
        <v>Ordos</v>
      </c>
      <c r="E2577" s="1" t="s">
        <v>2365</v>
      </c>
      <c r="F2577" s="1" t="str">
        <f>IFERROR(__xludf.DUMMYFUNCTION("GOOGLETRANSLATE(E2577, ""zh-CN"", ""en"")"),"Jun Ge Ban")</f>
        <v>Jun Ge Ban</v>
      </c>
      <c r="G2577" s="1">
        <v>1.50622E11</v>
      </c>
    </row>
    <row r="2578">
      <c r="A2578" s="1" t="s">
        <v>2305</v>
      </c>
      <c r="B2578" s="1" t="str">
        <f>IFERROR(__xludf.DUMMYFUNCTION("GOOGLETRANSLATE(A2504, ""zh-CN"", ""en"")"),"Henan Province")</f>
        <v>Henan Province</v>
      </c>
      <c r="C2578" s="1" t="s">
        <v>2311</v>
      </c>
      <c r="D2578" s="1" t="str">
        <f>IFERROR(__xludf.DUMMYFUNCTION("GOOGLETRANSLATE(C2578, ""zh-CN"", ""en"")"),"Ordos")</f>
        <v>Ordos</v>
      </c>
      <c r="E2578" s="1" t="s">
        <v>2366</v>
      </c>
      <c r="F2578" s="1" t="str">
        <f>IFERROR(__xludf.DUMMYFUNCTION("GOOGLETRANSLATE(E2578, ""zh-CN"", ""en"")"),"Ortokqian flag")</f>
        <v>Ortokqian flag</v>
      </c>
      <c r="G2578" s="1">
        <v>1.50623E11</v>
      </c>
    </row>
    <row r="2579">
      <c r="A2579" s="1" t="s">
        <v>2305</v>
      </c>
      <c r="B2579" s="1" t="str">
        <f>IFERROR(__xludf.DUMMYFUNCTION("GOOGLETRANSLATE(A2505, ""zh-CN"", ""en"")"),"Henan Province")</f>
        <v>Henan Province</v>
      </c>
      <c r="C2579" s="1" t="s">
        <v>2311</v>
      </c>
      <c r="D2579" s="1" t="str">
        <f>IFERROR(__xludf.DUMMYFUNCTION("GOOGLETRANSLATE(C2579, ""zh-CN"", ""en"")"),"Ordos")</f>
        <v>Ordos</v>
      </c>
      <c r="E2579" s="1" t="s">
        <v>2367</v>
      </c>
      <c r="F2579" s="1" t="str">
        <f>IFERROR(__xludf.DUMMYFUNCTION("GOOGLETRANSLATE(E2579, ""zh-CN"", ""en"")"),"Ortoch Banner")</f>
        <v>Ortoch Banner</v>
      </c>
      <c r="G2579" s="1">
        <v>1.50624E11</v>
      </c>
    </row>
    <row r="2580">
      <c r="A2580" s="1" t="s">
        <v>2305</v>
      </c>
      <c r="B2580" s="1" t="str">
        <f>IFERROR(__xludf.DUMMYFUNCTION("GOOGLETRANSLATE(A2506, ""zh-CN"", ""en"")"),"Henan Province")</f>
        <v>Henan Province</v>
      </c>
      <c r="C2580" s="1" t="s">
        <v>2311</v>
      </c>
      <c r="D2580" s="1" t="str">
        <f>IFERROR(__xludf.DUMMYFUNCTION("GOOGLETRANSLATE(C2580, ""zh-CN"", ""en"")"),"Ordos")</f>
        <v>Ordos</v>
      </c>
      <c r="E2580" s="1" t="s">
        <v>2368</v>
      </c>
      <c r="F2580" s="1" t="str">
        <f>IFERROR(__xludf.DUMMYFUNCTION("GOOGLETRANSLATE(E2580, ""zh-CN"", ""en"")"),"Hangzhou Jinqi")</f>
        <v>Hangzhou Jinqi</v>
      </c>
      <c r="G2580" s="1">
        <v>1.50625E11</v>
      </c>
    </row>
    <row r="2581">
      <c r="A2581" s="1" t="s">
        <v>2305</v>
      </c>
      <c r="B2581" s="1" t="str">
        <f>IFERROR(__xludf.DUMMYFUNCTION("GOOGLETRANSLATE(A2507, ""zh-CN"", ""en"")"),"Henan Province")</f>
        <v>Henan Province</v>
      </c>
      <c r="C2581" s="1" t="s">
        <v>2311</v>
      </c>
      <c r="D2581" s="1" t="str">
        <f>IFERROR(__xludf.DUMMYFUNCTION("GOOGLETRANSLATE(C2581, ""zh-CN"", ""en"")"),"Ordos")</f>
        <v>Ordos</v>
      </c>
      <c r="E2581" s="1" t="s">
        <v>2369</v>
      </c>
      <c r="F2581" s="1" t="str">
        <f>IFERROR(__xludf.DUMMYFUNCTION("GOOGLETRANSLATE(E2581, ""zh-CN"", ""en"")"),"Ukraine Banner")</f>
        <v>Ukraine Banner</v>
      </c>
      <c r="G2581" s="1">
        <v>1.50626E11</v>
      </c>
    </row>
    <row r="2582">
      <c r="A2582" s="1" t="s">
        <v>2305</v>
      </c>
      <c r="B2582" s="1" t="str">
        <f>IFERROR(__xludf.DUMMYFUNCTION("GOOGLETRANSLATE(A2508, ""zh-CN"", ""en"")"),"Henan Province")</f>
        <v>Henan Province</v>
      </c>
      <c r="C2582" s="1" t="s">
        <v>2311</v>
      </c>
      <c r="D2582" s="1" t="str">
        <f>IFERROR(__xludf.DUMMYFUNCTION("GOOGLETRANSLATE(C2582, ""zh-CN"", ""en"")"),"Ordos")</f>
        <v>Ordos</v>
      </c>
      <c r="E2582" s="1" t="s">
        <v>2370</v>
      </c>
      <c r="F2582" s="1" t="str">
        <f>IFERROR(__xludf.DUMMYFUNCTION("GOOGLETRANSLATE(E2582, ""zh-CN"", ""en"")"),"Ikinhlo Banner")</f>
        <v>Ikinhlo Banner</v>
      </c>
      <c r="G2582" s="1">
        <v>1.50627E11</v>
      </c>
    </row>
    <row r="2583">
      <c r="A2583" s="1" t="s">
        <v>2305</v>
      </c>
      <c r="B2583" s="1" t="str">
        <f>IFERROR(__xludf.DUMMYFUNCTION("GOOGLETRANSLATE(A2509, ""zh-CN"", ""en"")"),"Henan Province")</f>
        <v>Henan Province</v>
      </c>
      <c r="C2583" s="1" t="s">
        <v>2312</v>
      </c>
      <c r="D2583" s="1" t="str">
        <f>IFERROR(__xludf.DUMMYFUNCTION("GOOGLETRANSLATE(C2583, ""zh-CN"", ""en"")"),"Hulunbeir")</f>
        <v>Hulunbeir</v>
      </c>
      <c r="E2583" s="1" t="s">
        <v>24</v>
      </c>
      <c r="F2583" s="1" t="str">
        <f>IFERROR(__xludf.DUMMYFUNCTION("GOOGLETRANSLATE(E2583, ""zh-CN"", ""en"")"),"City area")</f>
        <v>City area</v>
      </c>
      <c r="G2583" s="1">
        <v>1.50701E11</v>
      </c>
    </row>
    <row r="2584">
      <c r="A2584" s="1" t="s">
        <v>2305</v>
      </c>
      <c r="B2584" s="1" t="str">
        <f>IFERROR(__xludf.DUMMYFUNCTION("GOOGLETRANSLATE(A2510, ""zh-CN"", ""en"")"),"Henan Province")</f>
        <v>Henan Province</v>
      </c>
      <c r="C2584" s="1" t="s">
        <v>2312</v>
      </c>
      <c r="D2584" s="1" t="str">
        <f>IFERROR(__xludf.DUMMYFUNCTION("GOOGLETRANSLATE(C2584, ""zh-CN"", ""en"")"),"Hulunbeir")</f>
        <v>Hulunbeir</v>
      </c>
      <c r="E2584" s="1" t="s">
        <v>2371</v>
      </c>
      <c r="F2584" s="1" t="str">
        <f>IFERROR(__xludf.DUMMYFUNCTION("GOOGLETRANSLATE(E2584, ""zh-CN"", ""en"")"),"Hailar District")</f>
        <v>Hailar District</v>
      </c>
      <c r="G2584" s="1">
        <v>1.50702E11</v>
      </c>
    </row>
    <row r="2585">
      <c r="A2585" s="1" t="s">
        <v>2305</v>
      </c>
      <c r="B2585" s="1" t="str">
        <f>IFERROR(__xludf.DUMMYFUNCTION("GOOGLETRANSLATE(A2511, ""zh-CN"", ""en"")"),"Inner Mongolia Autonomous Region")</f>
        <v>Inner Mongolia Autonomous Region</v>
      </c>
      <c r="C2585" s="1" t="s">
        <v>2312</v>
      </c>
      <c r="D2585" s="1" t="str">
        <f>IFERROR(__xludf.DUMMYFUNCTION("GOOGLETRANSLATE(C2585, ""zh-CN"", ""en"")"),"Hulunbeir")</f>
        <v>Hulunbeir</v>
      </c>
      <c r="E2585" s="1" t="s">
        <v>2372</v>
      </c>
      <c r="F2585" s="1" t="str">
        <f>IFERROR(__xludf.DUMMYFUNCTION("GOOGLETRANSLATE(E2585, ""zh-CN"", ""en"")"),"Zhahonor District")</f>
        <v>Zhahonor District</v>
      </c>
      <c r="G2585" s="1">
        <v>1.50703E11</v>
      </c>
    </row>
    <row r="2586">
      <c r="A2586" s="1" t="s">
        <v>2305</v>
      </c>
      <c r="B2586" s="1" t="str">
        <f>IFERROR(__xludf.DUMMYFUNCTION("GOOGLETRANSLATE(A2512, ""zh-CN"", ""en"")"),"Inner Mongolia Autonomous Region")</f>
        <v>Inner Mongolia Autonomous Region</v>
      </c>
      <c r="C2586" s="1" t="s">
        <v>2312</v>
      </c>
      <c r="D2586" s="1" t="str">
        <f>IFERROR(__xludf.DUMMYFUNCTION("GOOGLETRANSLATE(C2586, ""zh-CN"", ""en"")"),"Hulunbeir")</f>
        <v>Hulunbeir</v>
      </c>
      <c r="E2586" s="1" t="s">
        <v>2373</v>
      </c>
      <c r="F2586" s="1" t="str">
        <f>IFERROR(__xludf.DUMMYFUNCTION("GOOGLETRANSLATE(E2586, ""zh-CN"", ""en"")"),"Arong Banner")</f>
        <v>Arong Banner</v>
      </c>
      <c r="G2586" s="1">
        <v>1.50721E11</v>
      </c>
    </row>
    <row r="2587">
      <c r="A2587" s="1" t="s">
        <v>2305</v>
      </c>
      <c r="B2587" s="1" t="str">
        <f>IFERROR(__xludf.DUMMYFUNCTION("GOOGLETRANSLATE(A2513, ""zh-CN"", ""en"")"),"Inner Mongolia Autonomous Region")</f>
        <v>Inner Mongolia Autonomous Region</v>
      </c>
      <c r="C2587" s="1" t="s">
        <v>2312</v>
      </c>
      <c r="D2587" s="1" t="str">
        <f>IFERROR(__xludf.DUMMYFUNCTION("GOOGLETRANSLATE(C2587, ""zh-CN"", ""en"")"),"Hulunbeir")</f>
        <v>Hulunbeir</v>
      </c>
      <c r="E2587" s="1" t="s">
        <v>2374</v>
      </c>
      <c r="F2587" s="1" t="str">
        <f>IFERROR(__xludf.DUMMYFUNCTION("GOOGLETRANSLATE(E2587, ""zh-CN"", ""en"")"),"Molida Vadaur Autonomous Banner")</f>
        <v>Molida Vadaur Autonomous Banner</v>
      </c>
      <c r="G2587" s="1">
        <v>1.50722E11</v>
      </c>
    </row>
    <row r="2588">
      <c r="A2588" s="1" t="s">
        <v>2305</v>
      </c>
      <c r="B2588" s="1" t="str">
        <f>IFERROR(__xludf.DUMMYFUNCTION("GOOGLETRANSLATE(A2514, ""zh-CN"", ""en"")"),"Inner Mongolia Autonomous Region")</f>
        <v>Inner Mongolia Autonomous Region</v>
      </c>
      <c r="C2588" s="1" t="s">
        <v>2312</v>
      </c>
      <c r="D2588" s="1" t="str">
        <f>IFERROR(__xludf.DUMMYFUNCTION("GOOGLETRANSLATE(C2588, ""zh-CN"", ""en"")"),"Hulunbeir")</f>
        <v>Hulunbeir</v>
      </c>
      <c r="E2588" s="1" t="s">
        <v>2375</v>
      </c>
      <c r="F2588" s="1" t="str">
        <f>IFERROR(__xludf.DUMMYFUNCTION("GOOGLETRANSLATE(E2588, ""zh-CN"", ""en"")"),"Olun Autonomous Banner")</f>
        <v>Olun Autonomous Banner</v>
      </c>
      <c r="G2588" s="1">
        <v>1.50723E11</v>
      </c>
    </row>
    <row r="2589">
      <c r="A2589" s="1" t="s">
        <v>2305</v>
      </c>
      <c r="B2589" s="1" t="str">
        <f>IFERROR(__xludf.DUMMYFUNCTION("GOOGLETRANSLATE(A2515, ""zh-CN"", ""en"")"),"Inner Mongolia Autonomous Region")</f>
        <v>Inner Mongolia Autonomous Region</v>
      </c>
      <c r="C2589" s="1" t="s">
        <v>2312</v>
      </c>
      <c r="D2589" s="1" t="str">
        <f>IFERROR(__xludf.DUMMYFUNCTION("GOOGLETRANSLATE(C2589, ""zh-CN"", ""en"")"),"Hulunbeir")</f>
        <v>Hulunbeir</v>
      </c>
      <c r="E2589" s="1" t="s">
        <v>2376</v>
      </c>
      <c r="F2589" s="1" t="str">
        <f>IFERROR(__xludf.DUMMYFUNCTION("GOOGLETRANSLATE(E2589, ""zh-CN"", ""en"")"),"Ewenki Autonomous Banner")</f>
        <v>Ewenki Autonomous Banner</v>
      </c>
      <c r="G2589" s="1">
        <v>1.50724E11</v>
      </c>
    </row>
    <row r="2590">
      <c r="A2590" s="1" t="s">
        <v>2305</v>
      </c>
      <c r="B2590" s="1" t="str">
        <f>IFERROR(__xludf.DUMMYFUNCTION("GOOGLETRANSLATE(A2516, ""zh-CN"", ""en"")"),"Inner Mongolia Autonomous Region")</f>
        <v>Inner Mongolia Autonomous Region</v>
      </c>
      <c r="C2590" s="1" t="s">
        <v>2312</v>
      </c>
      <c r="D2590" s="1" t="str">
        <f>IFERROR(__xludf.DUMMYFUNCTION("GOOGLETRANSLATE(C2590, ""zh-CN"", ""en"")"),"Hulunbeir")</f>
        <v>Hulunbeir</v>
      </c>
      <c r="E2590" s="1" t="s">
        <v>2377</v>
      </c>
      <c r="F2590" s="1" t="str">
        <f>IFERROR(__xludf.DUMMYFUNCTION("GOOGLETRANSLATE(E2590, ""zh-CN"", ""en"")"),"Chen Balhu Banner")</f>
        <v>Chen Balhu Banner</v>
      </c>
      <c r="G2590" s="1">
        <v>1.50725E11</v>
      </c>
    </row>
    <row r="2591">
      <c r="A2591" s="1" t="s">
        <v>2305</v>
      </c>
      <c r="B2591" s="1" t="str">
        <f>IFERROR(__xludf.DUMMYFUNCTION("GOOGLETRANSLATE(A2517, ""zh-CN"", ""en"")"),"Inner Mongolia Autonomous Region")</f>
        <v>Inner Mongolia Autonomous Region</v>
      </c>
      <c r="C2591" s="1" t="s">
        <v>2312</v>
      </c>
      <c r="D2591" s="1" t="str">
        <f>IFERROR(__xludf.DUMMYFUNCTION("GOOGLETRANSLATE(C2591, ""zh-CN"", ""en"")"),"Hulunbeir")</f>
        <v>Hulunbeir</v>
      </c>
      <c r="E2591" s="1" t="s">
        <v>2378</v>
      </c>
      <c r="F2591" s="1" t="str">
        <f>IFERROR(__xludf.DUMMYFUNCTION("GOOGLETRANSLATE(E2591, ""zh-CN"", ""en"")"),"New Balhu Zuoqi")</f>
        <v>New Balhu Zuoqi</v>
      </c>
      <c r="G2591" s="1">
        <v>1.50726E11</v>
      </c>
    </row>
    <row r="2592">
      <c r="A2592" s="1" t="s">
        <v>2305</v>
      </c>
      <c r="B2592" s="1" t="str">
        <f>IFERROR(__xludf.DUMMYFUNCTION("GOOGLETRANSLATE(A2518, ""zh-CN"", ""en"")"),"Inner Mongolia Autonomous Region")</f>
        <v>Inner Mongolia Autonomous Region</v>
      </c>
      <c r="C2592" s="1" t="s">
        <v>2312</v>
      </c>
      <c r="D2592" s="1" t="str">
        <f>IFERROR(__xludf.DUMMYFUNCTION("GOOGLETRANSLATE(C2592, ""zh-CN"", ""en"")"),"Hulunbeir")</f>
        <v>Hulunbeir</v>
      </c>
      <c r="E2592" s="1" t="s">
        <v>2379</v>
      </c>
      <c r="F2592" s="1" t="str">
        <f>IFERROR(__xludf.DUMMYFUNCTION("GOOGLETRANSLATE(E2592, ""zh-CN"", ""en"")"),"New Barcoro Right Banner")</f>
        <v>New Barcoro Right Banner</v>
      </c>
      <c r="G2592" s="1">
        <v>1.50727E11</v>
      </c>
    </row>
    <row r="2593">
      <c r="A2593" s="1" t="s">
        <v>2305</v>
      </c>
      <c r="B2593" s="1" t="str">
        <f>IFERROR(__xludf.DUMMYFUNCTION("GOOGLETRANSLATE(A2519, ""zh-CN"", ""en"")"),"Inner Mongolia Autonomous Region")</f>
        <v>Inner Mongolia Autonomous Region</v>
      </c>
      <c r="C2593" s="1" t="s">
        <v>2312</v>
      </c>
      <c r="D2593" s="1" t="str">
        <f>IFERROR(__xludf.DUMMYFUNCTION("GOOGLETRANSLATE(C2593, ""zh-CN"", ""en"")"),"Hulunbeir")</f>
        <v>Hulunbeir</v>
      </c>
      <c r="E2593" s="1" t="s">
        <v>2380</v>
      </c>
      <c r="F2593" s="1" t="str">
        <f>IFERROR(__xludf.DUMMYFUNCTION("GOOGLETRANSLATE(E2593, ""zh-CN"", ""en"")"),"Manzhouli City")</f>
        <v>Manzhouli City</v>
      </c>
      <c r="G2593" s="1">
        <v>1.50781E11</v>
      </c>
    </row>
    <row r="2594">
      <c r="A2594" s="1" t="s">
        <v>2305</v>
      </c>
      <c r="B2594" s="1" t="str">
        <f>IFERROR(__xludf.DUMMYFUNCTION("GOOGLETRANSLATE(A2520, ""zh-CN"", ""en"")"),"Inner Mongolia Autonomous Region")</f>
        <v>Inner Mongolia Autonomous Region</v>
      </c>
      <c r="C2594" s="1" t="s">
        <v>2312</v>
      </c>
      <c r="D2594" s="1" t="str">
        <f>IFERROR(__xludf.DUMMYFUNCTION("GOOGLETRANSLATE(C2594, ""zh-CN"", ""en"")"),"Hulunbeir")</f>
        <v>Hulunbeir</v>
      </c>
      <c r="E2594" s="1" t="s">
        <v>2381</v>
      </c>
      <c r="F2594" s="1" t="str">
        <f>IFERROR(__xludf.DUMMYFUNCTION("GOOGLETRANSLATE(E2594, ""zh-CN"", ""en"")"),"Kukeshi City")</f>
        <v>Kukeshi City</v>
      </c>
      <c r="G2594" s="1">
        <v>1.50782E11</v>
      </c>
    </row>
    <row r="2595">
      <c r="A2595" s="1" t="s">
        <v>2305</v>
      </c>
      <c r="B2595" s="1" t="str">
        <f>IFERROR(__xludf.DUMMYFUNCTION("GOOGLETRANSLATE(A2521, ""zh-CN"", ""en"")"),"Inner Mongolia Autonomous Region")</f>
        <v>Inner Mongolia Autonomous Region</v>
      </c>
      <c r="C2595" s="1" t="s">
        <v>2312</v>
      </c>
      <c r="D2595" s="1" t="str">
        <f>IFERROR(__xludf.DUMMYFUNCTION("GOOGLETRANSLATE(C2595, ""zh-CN"", ""en"")"),"Hulunbeir")</f>
        <v>Hulunbeir</v>
      </c>
      <c r="E2595" s="1" t="s">
        <v>2382</v>
      </c>
      <c r="F2595" s="1" t="str">
        <f>IFERROR(__xludf.DUMMYFUNCTION("GOOGLETRANSLATE(E2595, ""zh-CN"", ""en"")"),"Zhalantun City")</f>
        <v>Zhalantun City</v>
      </c>
      <c r="G2595" s="1">
        <v>1.50783E11</v>
      </c>
    </row>
    <row r="2596">
      <c r="A2596" s="1" t="s">
        <v>2305</v>
      </c>
      <c r="B2596" s="1" t="str">
        <f>IFERROR(__xludf.DUMMYFUNCTION("GOOGLETRANSLATE(A2522, ""zh-CN"", ""en"")"),"Inner Mongolia Autonomous Region")</f>
        <v>Inner Mongolia Autonomous Region</v>
      </c>
      <c r="C2596" s="1" t="s">
        <v>2312</v>
      </c>
      <c r="D2596" s="1" t="str">
        <f>IFERROR(__xludf.DUMMYFUNCTION("GOOGLETRANSLATE(C2596, ""zh-CN"", ""en"")"),"Hulunbeir")</f>
        <v>Hulunbeir</v>
      </c>
      <c r="E2596" s="1" t="s">
        <v>2383</v>
      </c>
      <c r="F2596" s="1" t="str">
        <f>IFERROR(__xludf.DUMMYFUNCTION("GOOGLETRANSLATE(E2596, ""zh-CN"", ""en"")"),"Erguna City")</f>
        <v>Erguna City</v>
      </c>
      <c r="G2596" s="1">
        <v>1.50784E11</v>
      </c>
    </row>
    <row r="2597">
      <c r="A2597" s="1" t="s">
        <v>2305</v>
      </c>
      <c r="B2597" s="1" t="str">
        <f>IFERROR(__xludf.DUMMYFUNCTION("GOOGLETRANSLATE(A2523, ""zh-CN"", ""en"")"),"Inner Mongolia Autonomous Region")</f>
        <v>Inner Mongolia Autonomous Region</v>
      </c>
      <c r="C2597" s="1" t="s">
        <v>2312</v>
      </c>
      <c r="D2597" s="1" t="str">
        <f>IFERROR(__xludf.DUMMYFUNCTION("GOOGLETRANSLATE(C2597, ""zh-CN"", ""en"")"),"Hulunbeir")</f>
        <v>Hulunbeir</v>
      </c>
      <c r="E2597" s="1" t="s">
        <v>2384</v>
      </c>
      <c r="F2597" s="1" t="str">
        <f>IFERROR(__xludf.DUMMYFUNCTION("GOOGLETRANSLATE(E2597, ""zh-CN"", ""en"")"),"Genhe City")</f>
        <v>Genhe City</v>
      </c>
      <c r="G2597" s="1">
        <v>1.50785E11</v>
      </c>
    </row>
    <row r="2598">
      <c r="A2598" s="1" t="s">
        <v>2305</v>
      </c>
      <c r="B2598" s="1" t="str">
        <f>IFERROR(__xludf.DUMMYFUNCTION("GOOGLETRANSLATE(A2524, ""zh-CN"", ""en"")"),"Inner Mongolia Autonomous Region")</f>
        <v>Inner Mongolia Autonomous Region</v>
      </c>
      <c r="C2598" s="1" t="s">
        <v>2313</v>
      </c>
      <c r="D2598" s="1" t="str">
        <f>IFERROR(__xludf.DUMMYFUNCTION("GOOGLETRANSLATE(C2598, ""zh-CN"", ""en"")"),"Bayannuer City")</f>
        <v>Bayannuer City</v>
      </c>
      <c r="E2598" s="1" t="s">
        <v>24</v>
      </c>
      <c r="F2598" s="1" t="str">
        <f>IFERROR(__xludf.DUMMYFUNCTION("GOOGLETRANSLATE(E2598, ""zh-CN"", ""en"")"),"City area")</f>
        <v>City area</v>
      </c>
      <c r="G2598" s="1">
        <v>1.50801E11</v>
      </c>
    </row>
    <row r="2599">
      <c r="A2599" s="1" t="s">
        <v>2305</v>
      </c>
      <c r="B2599" s="1" t="str">
        <f>IFERROR(__xludf.DUMMYFUNCTION("GOOGLETRANSLATE(A2525, ""zh-CN"", ""en"")"),"Inner Mongolia Autonomous Region")</f>
        <v>Inner Mongolia Autonomous Region</v>
      </c>
      <c r="C2599" s="1" t="s">
        <v>2313</v>
      </c>
      <c r="D2599" s="1" t="str">
        <f>IFERROR(__xludf.DUMMYFUNCTION("GOOGLETRANSLATE(C2599, ""zh-CN"", ""en"")"),"Bayannuer City")</f>
        <v>Bayannuer City</v>
      </c>
      <c r="E2599" s="1" t="s">
        <v>2385</v>
      </c>
      <c r="F2599" s="1" t="str">
        <f>IFERROR(__xludf.DUMMYFUNCTION("GOOGLETRANSLATE(E2599, ""zh-CN"", ""en"")"),"Linhe District")</f>
        <v>Linhe District</v>
      </c>
      <c r="G2599" s="1">
        <v>1.50802E11</v>
      </c>
    </row>
    <row r="2600">
      <c r="A2600" s="1" t="s">
        <v>2305</v>
      </c>
      <c r="B2600" s="1" t="str">
        <f>IFERROR(__xludf.DUMMYFUNCTION("GOOGLETRANSLATE(A2526, ""zh-CN"", ""en"")"),"Inner Mongolia Autonomous Region")</f>
        <v>Inner Mongolia Autonomous Region</v>
      </c>
      <c r="C2600" s="1" t="s">
        <v>2313</v>
      </c>
      <c r="D2600" s="1" t="str">
        <f>IFERROR(__xludf.DUMMYFUNCTION("GOOGLETRANSLATE(C2600, ""zh-CN"", ""en"")"),"Bayannuer City")</f>
        <v>Bayannuer City</v>
      </c>
      <c r="E2600" s="1" t="s">
        <v>2386</v>
      </c>
      <c r="F2600" s="1" t="str">
        <f>IFERROR(__xludf.DUMMYFUNCTION("GOOGLETRANSLATE(E2600, ""zh-CN"", ""en"")"),"Wuyuan County")</f>
        <v>Wuyuan County</v>
      </c>
      <c r="G2600" s="1">
        <v>1.50821E11</v>
      </c>
    </row>
    <row r="2601">
      <c r="A2601" s="1" t="s">
        <v>2305</v>
      </c>
      <c r="B2601" s="1" t="str">
        <f>IFERROR(__xludf.DUMMYFUNCTION("GOOGLETRANSLATE(A2527, ""zh-CN"", ""en"")"),"Inner Mongolia Autonomous Region")</f>
        <v>Inner Mongolia Autonomous Region</v>
      </c>
      <c r="C2601" s="1" t="s">
        <v>2313</v>
      </c>
      <c r="D2601" s="1" t="str">
        <f>IFERROR(__xludf.DUMMYFUNCTION("GOOGLETRANSLATE(C2601, ""zh-CN"", ""en"")"),"Bayannuer City")</f>
        <v>Bayannuer City</v>
      </c>
      <c r="E2601" s="1" t="s">
        <v>2387</v>
      </c>
      <c r="F2601" s="1" t="str">
        <f>IFERROR(__xludf.DUMMYFUNCTION("GOOGLETRANSLATE(E2601, ""zh-CN"", ""en"")"),"Takou County")</f>
        <v>Takou County</v>
      </c>
      <c r="G2601" s="1">
        <v>1.50822E11</v>
      </c>
    </row>
    <row r="2602">
      <c r="A2602" s="1" t="s">
        <v>2305</v>
      </c>
      <c r="B2602" s="1" t="str">
        <f>IFERROR(__xludf.DUMMYFUNCTION("GOOGLETRANSLATE(A2528, ""zh-CN"", ""en"")"),"Inner Mongolia Autonomous Region")</f>
        <v>Inner Mongolia Autonomous Region</v>
      </c>
      <c r="C2602" s="1" t="s">
        <v>2313</v>
      </c>
      <c r="D2602" s="1" t="str">
        <f>IFERROR(__xludf.DUMMYFUNCTION("GOOGLETRANSLATE(C2602, ""zh-CN"", ""en"")"),"Bayannuer City")</f>
        <v>Bayannuer City</v>
      </c>
      <c r="E2602" s="1" t="s">
        <v>2388</v>
      </c>
      <c r="F2602" s="1" t="str">
        <f>IFERROR(__xludf.DUMMYFUNCTION("GOOGLETRANSLATE(E2602, ""zh-CN"", ""en"")"),"Urart Qianqi Banner")</f>
        <v>Urart Qianqi Banner</v>
      </c>
      <c r="G2602" s="1">
        <v>1.50823E11</v>
      </c>
    </row>
    <row r="2603">
      <c r="A2603" s="1" t="s">
        <v>2305</v>
      </c>
      <c r="B2603" s="1" t="str">
        <f>IFERROR(__xludf.DUMMYFUNCTION("GOOGLETRANSLATE(A2529, ""zh-CN"", ""en"")"),"Inner Mongolia Autonomous Region")</f>
        <v>Inner Mongolia Autonomous Region</v>
      </c>
      <c r="C2603" s="1" t="s">
        <v>2313</v>
      </c>
      <c r="D2603" s="1" t="str">
        <f>IFERROR(__xludf.DUMMYFUNCTION("GOOGLETRANSLATE(C2603, ""zh-CN"", ""en"")"),"Bayannuer City")</f>
        <v>Bayannuer City</v>
      </c>
      <c r="E2603" s="1" t="s">
        <v>2389</v>
      </c>
      <c r="F2603" s="1" t="str">
        <f>IFERROR(__xludf.DUMMYFUNCTION("GOOGLETRANSLATE(E2603, ""zh-CN"", ""en"")"),"Ulatzaka Banner")</f>
        <v>Ulatzaka Banner</v>
      </c>
      <c r="G2603" s="1">
        <v>1.50824E11</v>
      </c>
    </row>
    <row r="2604">
      <c r="A2604" s="1" t="s">
        <v>2305</v>
      </c>
      <c r="B2604" s="1" t="str">
        <f>IFERROR(__xludf.DUMMYFUNCTION("GOOGLETRANSLATE(A2530, ""zh-CN"", ""en"")"),"Inner Mongolia Autonomous Region")</f>
        <v>Inner Mongolia Autonomous Region</v>
      </c>
      <c r="C2604" s="1" t="s">
        <v>2313</v>
      </c>
      <c r="D2604" s="1" t="str">
        <f>IFERROR(__xludf.DUMMYFUNCTION("GOOGLETRANSLATE(C2604, ""zh-CN"", ""en"")"),"Bayannuer City")</f>
        <v>Bayannuer City</v>
      </c>
      <c r="E2604" s="1" t="s">
        <v>2390</v>
      </c>
      <c r="F2604" s="1" t="str">
        <f>IFERROR(__xludf.DUMMYFUNCTION("GOOGLETRANSLATE(E2604, ""zh-CN"", ""en"")"),"Urater Houqi Banner")</f>
        <v>Urater Houqi Banner</v>
      </c>
      <c r="G2604" s="1">
        <v>1.50825E11</v>
      </c>
    </row>
    <row r="2605">
      <c r="A2605" s="1" t="s">
        <v>2305</v>
      </c>
      <c r="B2605" s="1" t="str">
        <f>IFERROR(__xludf.DUMMYFUNCTION("GOOGLETRANSLATE(A2531, ""zh-CN"", ""en"")"),"Inner Mongolia Autonomous Region")</f>
        <v>Inner Mongolia Autonomous Region</v>
      </c>
      <c r="C2605" s="1" t="s">
        <v>2313</v>
      </c>
      <c r="D2605" s="1" t="str">
        <f>IFERROR(__xludf.DUMMYFUNCTION("GOOGLETRANSLATE(C2605, ""zh-CN"", ""en"")"),"Bayannuer City")</f>
        <v>Bayannuer City</v>
      </c>
      <c r="E2605" s="1" t="s">
        <v>2391</v>
      </c>
      <c r="F2605" s="1" t="str">
        <f>IFERROR(__xludf.DUMMYFUNCTION("GOOGLETRANSLATE(E2605, ""zh-CN"", ""en"")"),"Hangjin Houqi Banner")</f>
        <v>Hangjin Houqi Banner</v>
      </c>
      <c r="G2605" s="1">
        <v>1.50826E11</v>
      </c>
    </row>
    <row r="2606">
      <c r="A2606" s="1" t="s">
        <v>2305</v>
      </c>
      <c r="B2606" s="1" t="str">
        <f>IFERROR(__xludf.DUMMYFUNCTION("GOOGLETRANSLATE(A2532, ""zh-CN"", ""en"")"),"Inner Mongolia Autonomous Region")</f>
        <v>Inner Mongolia Autonomous Region</v>
      </c>
      <c r="C2606" s="1" t="s">
        <v>2314</v>
      </c>
      <c r="D2606" s="1" t="str">
        <f>IFERROR(__xludf.DUMMYFUNCTION("GOOGLETRANSLATE(C2606, ""zh-CN"", ""en"")"),"Wulanchabu")</f>
        <v>Wulanchabu</v>
      </c>
      <c r="E2606" s="1" t="s">
        <v>24</v>
      </c>
      <c r="F2606" s="1" t="str">
        <f>IFERROR(__xludf.DUMMYFUNCTION("GOOGLETRANSLATE(E2606, ""zh-CN"", ""en"")"),"City area")</f>
        <v>City area</v>
      </c>
      <c r="G2606" s="1">
        <v>1.50901E11</v>
      </c>
    </row>
    <row r="2607">
      <c r="A2607" s="1" t="s">
        <v>2305</v>
      </c>
      <c r="B2607" s="1" t="str">
        <f>IFERROR(__xludf.DUMMYFUNCTION("GOOGLETRANSLATE(A2533, ""zh-CN"", ""en"")"),"Inner Mongolia Autonomous Region")</f>
        <v>Inner Mongolia Autonomous Region</v>
      </c>
      <c r="C2607" s="1" t="s">
        <v>2314</v>
      </c>
      <c r="D2607" s="1" t="str">
        <f>IFERROR(__xludf.DUMMYFUNCTION("GOOGLETRANSLATE(C2607, ""zh-CN"", ""en"")"),"Wulanchabu")</f>
        <v>Wulanchabu</v>
      </c>
      <c r="E2607" s="1" t="s">
        <v>2392</v>
      </c>
      <c r="F2607" s="1" t="str">
        <f>IFERROR(__xludf.DUMMYFUNCTION("GOOGLETRANSLATE(E2607, ""zh-CN"", ""en"")"),"Jining District")</f>
        <v>Jining District</v>
      </c>
      <c r="G2607" s="1">
        <v>1.50902E11</v>
      </c>
    </row>
    <row r="2608">
      <c r="A2608" s="1" t="s">
        <v>2305</v>
      </c>
      <c r="B2608" s="1" t="str">
        <f>IFERROR(__xludf.DUMMYFUNCTION("GOOGLETRANSLATE(A2534, ""zh-CN"", ""en"")"),"Inner Mongolia Autonomous Region")</f>
        <v>Inner Mongolia Autonomous Region</v>
      </c>
      <c r="C2608" s="1" t="s">
        <v>2314</v>
      </c>
      <c r="D2608" s="1" t="str">
        <f>IFERROR(__xludf.DUMMYFUNCTION("GOOGLETRANSLATE(C2608, ""zh-CN"", ""en"")"),"Wulanchabu")</f>
        <v>Wulanchabu</v>
      </c>
      <c r="E2608" s="1" t="s">
        <v>2393</v>
      </c>
      <c r="F2608" s="1" t="str">
        <f>IFERROR(__xludf.DUMMYFUNCTION("GOOGLETRANSLATE(E2608, ""zh-CN"", ""en"")"),"Zhuozi County")</f>
        <v>Zhuozi County</v>
      </c>
      <c r="G2608" s="1">
        <v>1.50921E11</v>
      </c>
    </row>
    <row r="2609">
      <c r="A2609" s="1" t="s">
        <v>2305</v>
      </c>
      <c r="B2609" s="1" t="str">
        <f>IFERROR(__xludf.DUMMYFUNCTION("GOOGLETRANSLATE(A2535, ""zh-CN"", ""en"")"),"Inner Mongolia Autonomous Region")</f>
        <v>Inner Mongolia Autonomous Region</v>
      </c>
      <c r="C2609" s="1" t="s">
        <v>2314</v>
      </c>
      <c r="D2609" s="1" t="str">
        <f>IFERROR(__xludf.DUMMYFUNCTION("GOOGLETRANSLATE(C2609, ""zh-CN"", ""en"")"),"Wulanchabu")</f>
        <v>Wulanchabu</v>
      </c>
      <c r="E2609" s="1" t="s">
        <v>2394</v>
      </c>
      <c r="F2609" s="1" t="str">
        <f>IFERROR(__xludf.DUMMYFUNCTION("GOOGLETRANSLATE(E2609, ""zh-CN"", ""en"")"),"Hua De County")</f>
        <v>Hua De County</v>
      </c>
      <c r="G2609" s="1">
        <v>1.50922E11</v>
      </c>
    </row>
    <row r="2610">
      <c r="A2610" s="1" t="s">
        <v>2305</v>
      </c>
      <c r="B2610" s="1" t="str">
        <f>IFERROR(__xludf.DUMMYFUNCTION("GOOGLETRANSLATE(A2536, ""zh-CN"", ""en"")"),"Inner Mongolia Autonomous Region")</f>
        <v>Inner Mongolia Autonomous Region</v>
      </c>
      <c r="C2610" s="1" t="s">
        <v>2314</v>
      </c>
      <c r="D2610" s="1" t="str">
        <f>IFERROR(__xludf.DUMMYFUNCTION("GOOGLETRANSLATE(C2610, ""zh-CN"", ""en"")"),"Wulanchabu")</f>
        <v>Wulanchabu</v>
      </c>
      <c r="E2610" s="1" t="s">
        <v>2395</v>
      </c>
      <c r="F2610" s="1" t="str">
        <f>IFERROR(__xludf.DUMMYFUNCTION("GOOGLETRANSLATE(E2610, ""zh-CN"", ""en"")"),"Shangdu County")</f>
        <v>Shangdu County</v>
      </c>
      <c r="G2610" s="1">
        <v>1.50923E11</v>
      </c>
    </row>
    <row r="2611">
      <c r="A2611" s="1" t="s">
        <v>2305</v>
      </c>
      <c r="B2611" s="1" t="str">
        <f>IFERROR(__xludf.DUMMYFUNCTION("GOOGLETRANSLATE(A2537, ""zh-CN"", ""en"")"),"Inner Mongolia Autonomous Region")</f>
        <v>Inner Mongolia Autonomous Region</v>
      </c>
      <c r="C2611" s="1" t="s">
        <v>2314</v>
      </c>
      <c r="D2611" s="1" t="str">
        <f>IFERROR(__xludf.DUMMYFUNCTION("GOOGLETRANSLATE(C2611, ""zh-CN"", ""en"")"),"Wulanchabu")</f>
        <v>Wulanchabu</v>
      </c>
      <c r="E2611" s="1" t="s">
        <v>2396</v>
      </c>
      <c r="F2611" s="1" t="str">
        <f>IFERROR(__xludf.DUMMYFUNCTION("GOOGLETRANSLATE(E2611, ""zh-CN"", ""en"")"),"Xinghe County")</f>
        <v>Xinghe County</v>
      </c>
      <c r="G2611" s="1">
        <v>1.50924E11</v>
      </c>
    </row>
    <row r="2612">
      <c r="A2612" s="1" t="s">
        <v>2305</v>
      </c>
      <c r="B2612" s="1" t="str">
        <f>IFERROR(__xludf.DUMMYFUNCTION("GOOGLETRANSLATE(A2538, ""zh-CN"", ""en"")"),"Inner Mongolia Autonomous Region")</f>
        <v>Inner Mongolia Autonomous Region</v>
      </c>
      <c r="C2612" s="1" t="s">
        <v>2314</v>
      </c>
      <c r="D2612" s="1" t="str">
        <f>IFERROR(__xludf.DUMMYFUNCTION("GOOGLETRANSLATE(C2612, ""zh-CN"", ""en"")"),"Wulanchabu")</f>
        <v>Wulanchabu</v>
      </c>
      <c r="E2612" s="1" t="s">
        <v>2397</v>
      </c>
      <c r="F2612" s="1" t="str">
        <f>IFERROR(__xludf.DUMMYFUNCTION("GOOGLETRANSLATE(E2612, ""zh-CN"", ""en"")"),"Liangcheng County")</f>
        <v>Liangcheng County</v>
      </c>
      <c r="G2612" s="1">
        <v>1.50925E11</v>
      </c>
    </row>
    <row r="2613">
      <c r="A2613" s="1" t="s">
        <v>2305</v>
      </c>
      <c r="B2613" s="1" t="str">
        <f>IFERROR(__xludf.DUMMYFUNCTION("GOOGLETRANSLATE(A2539, ""zh-CN"", ""en"")"),"Inner Mongolia Autonomous Region")</f>
        <v>Inner Mongolia Autonomous Region</v>
      </c>
      <c r="C2613" s="1" t="s">
        <v>2314</v>
      </c>
      <c r="D2613" s="1" t="str">
        <f>IFERROR(__xludf.DUMMYFUNCTION("GOOGLETRANSLATE(C2613, ""zh-CN"", ""en"")"),"Wulanchabu")</f>
        <v>Wulanchabu</v>
      </c>
      <c r="E2613" s="1" t="s">
        <v>2398</v>
      </c>
      <c r="F2613" s="1" t="str">
        <f>IFERROR(__xludf.DUMMYFUNCTION("GOOGLETRANSLATE(E2613, ""zh-CN"", ""en"")"),"Chahar's right wing front flag")</f>
        <v>Chahar's right wing front flag</v>
      </c>
      <c r="G2613" s="1">
        <v>1.50926E11</v>
      </c>
    </row>
    <row r="2614">
      <c r="A2614" s="1" t="s">
        <v>2305</v>
      </c>
      <c r="B2614" s="1" t="str">
        <f>IFERROR(__xludf.DUMMYFUNCTION("GOOGLETRANSLATE(A2540, ""zh-CN"", ""en"")"),"Inner Mongolia Autonomous Region")</f>
        <v>Inner Mongolia Autonomous Region</v>
      </c>
      <c r="C2614" s="1" t="s">
        <v>2314</v>
      </c>
      <c r="D2614" s="1" t="str">
        <f>IFERROR(__xludf.DUMMYFUNCTION("GOOGLETRANSLATE(C2614, ""zh-CN"", ""en"")"),"Wulanchabu")</f>
        <v>Wulanchabu</v>
      </c>
      <c r="E2614" s="1" t="s">
        <v>2399</v>
      </c>
      <c r="F2614" s="1" t="str">
        <f>IFERROR(__xludf.DUMMYFUNCTION("GOOGLETRANSLATE(E2614, ""zh-CN"", ""en"")"),"Chahar's right wing middle flag")</f>
        <v>Chahar's right wing middle flag</v>
      </c>
      <c r="G2614" s="1">
        <v>1.50927E11</v>
      </c>
    </row>
    <row r="2615">
      <c r="A2615" s="1" t="s">
        <v>2305</v>
      </c>
      <c r="B2615" s="1" t="str">
        <f>IFERROR(__xludf.DUMMYFUNCTION("GOOGLETRANSLATE(A2541, ""zh-CN"", ""en"")"),"Inner Mongolia Autonomous Region")</f>
        <v>Inner Mongolia Autonomous Region</v>
      </c>
      <c r="C2615" s="1" t="s">
        <v>2314</v>
      </c>
      <c r="D2615" s="1" t="str">
        <f>IFERROR(__xludf.DUMMYFUNCTION("GOOGLETRANSLATE(C2615, ""zh-CN"", ""en"")"),"Wulanchabu")</f>
        <v>Wulanchabu</v>
      </c>
      <c r="E2615" s="1" t="s">
        <v>2400</v>
      </c>
      <c r="F2615" s="1" t="str">
        <f>IFERROR(__xludf.DUMMYFUNCTION("GOOGLETRANSLATE(E2615, ""zh-CN"", ""en"")"),"Chahar's right -wing back flag")</f>
        <v>Chahar's right -wing back flag</v>
      </c>
      <c r="G2615" s="1">
        <v>1.50928E11</v>
      </c>
    </row>
    <row r="2616">
      <c r="A2616" s="1" t="s">
        <v>2305</v>
      </c>
      <c r="B2616" s="1" t="str">
        <f>IFERROR(__xludf.DUMMYFUNCTION("GOOGLETRANSLATE(A2542, ""zh-CN"", ""en"")"),"Inner Mongolia Autonomous Region")</f>
        <v>Inner Mongolia Autonomous Region</v>
      </c>
      <c r="C2616" s="1" t="s">
        <v>2314</v>
      </c>
      <c r="D2616" s="1" t="str">
        <f>IFERROR(__xludf.DUMMYFUNCTION("GOOGLETRANSLATE(C2616, ""zh-CN"", ""en"")"),"Wulanchabu")</f>
        <v>Wulanchabu</v>
      </c>
      <c r="E2616" s="1" t="s">
        <v>2401</v>
      </c>
      <c r="F2616" s="1" t="str">
        <f>IFERROR(__xludf.DUMMYFUNCTION("GOOGLETRANSLATE(E2616, ""zh-CN"", ""en"")"),"Four Son King Banner")</f>
        <v>Four Son King Banner</v>
      </c>
      <c r="G2616" s="1">
        <v>1.50929E11</v>
      </c>
    </row>
    <row r="2617">
      <c r="A2617" s="1" t="s">
        <v>2305</v>
      </c>
      <c r="B2617" s="1" t="str">
        <f>IFERROR(__xludf.DUMMYFUNCTION("GOOGLETRANSLATE(A2543, ""zh-CN"", ""en"")"),"Inner Mongolia Autonomous Region")</f>
        <v>Inner Mongolia Autonomous Region</v>
      </c>
      <c r="C2617" s="1" t="s">
        <v>2314</v>
      </c>
      <c r="D2617" s="1" t="str">
        <f>IFERROR(__xludf.DUMMYFUNCTION("GOOGLETRANSLATE(C2617, ""zh-CN"", ""en"")"),"Wulanchabu")</f>
        <v>Wulanchabu</v>
      </c>
      <c r="E2617" s="1" t="s">
        <v>2402</v>
      </c>
      <c r="F2617" s="1" t="str">
        <f>IFERROR(__xludf.DUMMYFUNCTION("GOOGLETRANSLATE(E2617, ""zh-CN"", ""en"")"),"Fengzhen City")</f>
        <v>Fengzhen City</v>
      </c>
      <c r="G2617" s="1">
        <v>1.50981E11</v>
      </c>
    </row>
    <row r="2618">
      <c r="A2618" s="1" t="s">
        <v>2305</v>
      </c>
      <c r="B2618" s="1" t="str">
        <f>IFERROR(__xludf.DUMMYFUNCTION("GOOGLETRANSLATE(A2544, ""zh-CN"", ""en"")"),"Inner Mongolia Autonomous Region")</f>
        <v>Inner Mongolia Autonomous Region</v>
      </c>
      <c r="C2618" s="1" t="s">
        <v>2315</v>
      </c>
      <c r="D2618" s="1" t="str">
        <f>IFERROR(__xludf.DUMMYFUNCTION("GOOGLETRANSLATE(C2618, ""zh-CN"", ""en"")"),"Xing'an")</f>
        <v>Xing'an</v>
      </c>
      <c r="E2618" s="1" t="s">
        <v>2403</v>
      </c>
      <c r="F2618" s="1" t="str">
        <f>IFERROR(__xludf.DUMMYFUNCTION("GOOGLETRANSLATE(E2618, ""zh-CN"", ""en"")"),"Ulanhot City")</f>
        <v>Ulanhot City</v>
      </c>
      <c r="G2618" s="1">
        <v>1.52201E11</v>
      </c>
    </row>
    <row r="2619">
      <c r="A2619" s="1" t="s">
        <v>2305</v>
      </c>
      <c r="B2619" s="1" t="str">
        <f>IFERROR(__xludf.DUMMYFUNCTION("GOOGLETRANSLATE(A2545, ""zh-CN"", ""en"")"),"Inner Mongolia Autonomous Region")</f>
        <v>Inner Mongolia Autonomous Region</v>
      </c>
      <c r="C2619" s="1" t="s">
        <v>2315</v>
      </c>
      <c r="D2619" s="1" t="str">
        <f>IFERROR(__xludf.DUMMYFUNCTION("GOOGLETRANSLATE(C2619, ""zh-CN"", ""en"")"),"Xing'an")</f>
        <v>Xing'an</v>
      </c>
      <c r="E2619" s="1" t="s">
        <v>2404</v>
      </c>
      <c r="F2619" s="1" t="str">
        <f>IFERROR(__xludf.DUMMYFUNCTION("GOOGLETRANSLATE(E2619, ""zh-CN"", ""en"")"),"Alishan City")</f>
        <v>Alishan City</v>
      </c>
      <c r="G2619" s="1">
        <v>1.52202E11</v>
      </c>
    </row>
    <row r="2620">
      <c r="A2620" s="1" t="s">
        <v>2305</v>
      </c>
      <c r="B2620" s="1" t="str">
        <f>IFERROR(__xludf.DUMMYFUNCTION("GOOGLETRANSLATE(A2546, ""zh-CN"", ""en"")"),"Inner Mongolia Autonomous Region")</f>
        <v>Inner Mongolia Autonomous Region</v>
      </c>
      <c r="C2620" s="1" t="s">
        <v>2315</v>
      </c>
      <c r="D2620" s="1" t="str">
        <f>IFERROR(__xludf.DUMMYFUNCTION("GOOGLETRANSLATE(C2620, ""zh-CN"", ""en"")"),"Xing'an")</f>
        <v>Xing'an</v>
      </c>
      <c r="E2620" s="1" t="s">
        <v>2405</v>
      </c>
      <c r="F2620" s="1" t="str">
        <f>IFERROR(__xludf.DUMMYFUNCTION("GOOGLETRANSLATE(E2620, ""zh-CN"", ""en"")"),"Korqin's right front flag")</f>
        <v>Korqin's right front flag</v>
      </c>
      <c r="G2620" s="1">
        <v>1.52221E11</v>
      </c>
    </row>
    <row r="2621">
      <c r="A2621" s="1" t="s">
        <v>2305</v>
      </c>
      <c r="B2621" s="1" t="str">
        <f>IFERROR(__xludf.DUMMYFUNCTION("GOOGLETRANSLATE(A2547, ""zh-CN"", ""en"")"),"Inner Mongolia Autonomous Region")</f>
        <v>Inner Mongolia Autonomous Region</v>
      </c>
      <c r="C2621" s="1" t="s">
        <v>2315</v>
      </c>
      <c r="D2621" s="1" t="str">
        <f>IFERROR(__xludf.DUMMYFUNCTION("GOOGLETRANSLATE(C2621, ""zh-CN"", ""en"")"),"Xing'an")</f>
        <v>Xing'an</v>
      </c>
      <c r="E2621" s="1" t="s">
        <v>2406</v>
      </c>
      <c r="F2621" s="1" t="str">
        <f>IFERROR(__xludf.DUMMYFUNCTION("GOOGLETRANSLATE(E2621, ""zh-CN"", ""en"")"),"Korqin's right -wing Banner")</f>
        <v>Korqin's right -wing Banner</v>
      </c>
      <c r="G2621" s="1">
        <v>1.52222E11</v>
      </c>
    </row>
    <row r="2622">
      <c r="A2622" s="1" t="s">
        <v>2305</v>
      </c>
      <c r="B2622" s="1" t="str">
        <f>IFERROR(__xludf.DUMMYFUNCTION("GOOGLETRANSLATE(A2548, ""zh-CN"", ""en"")"),"Inner Mongolia Autonomous Region")</f>
        <v>Inner Mongolia Autonomous Region</v>
      </c>
      <c r="C2622" s="1" t="s">
        <v>2315</v>
      </c>
      <c r="D2622" s="1" t="str">
        <f>IFERROR(__xludf.DUMMYFUNCTION("GOOGLETRANSLATE(C2622, ""zh-CN"", ""en"")"),"Xing'an")</f>
        <v>Xing'an</v>
      </c>
      <c r="E2622" s="1" t="s">
        <v>2407</v>
      </c>
      <c r="F2622" s="1" t="str">
        <f>IFERROR(__xludf.DUMMYFUNCTION("GOOGLETRANSLATE(E2622, ""zh-CN"", ""en"")"),"Takaya Banner")</f>
        <v>Takaya Banner</v>
      </c>
      <c r="G2622" s="1">
        <v>1.52223E11</v>
      </c>
    </row>
    <row r="2623">
      <c r="A2623" s="1" t="s">
        <v>2305</v>
      </c>
      <c r="B2623" s="1" t="str">
        <f>IFERROR(__xludf.DUMMYFUNCTION("GOOGLETRANSLATE(A2549, ""zh-CN"", ""en"")"),"Inner Mongolia Autonomous Region")</f>
        <v>Inner Mongolia Autonomous Region</v>
      </c>
      <c r="C2623" s="1" t="s">
        <v>2315</v>
      </c>
      <c r="D2623" s="1" t="str">
        <f>IFERROR(__xludf.DUMMYFUNCTION("GOOGLETRANSLATE(C2623, ""zh-CN"", ""en"")"),"Xing'an")</f>
        <v>Xing'an</v>
      </c>
      <c r="E2623" s="1" t="s">
        <v>2408</v>
      </c>
      <c r="F2623" s="1" t="str">
        <f>IFERROR(__xludf.DUMMYFUNCTION("GOOGLETRANSLATE(E2623, ""zh-CN"", ""en"")"),"Taro Spring County")</f>
        <v>Taro Spring County</v>
      </c>
      <c r="G2623" s="1">
        <v>1.52224E11</v>
      </c>
    </row>
    <row r="2624">
      <c r="A2624" s="1" t="s">
        <v>2305</v>
      </c>
      <c r="B2624" s="1" t="str">
        <f>IFERROR(__xludf.DUMMYFUNCTION("GOOGLETRANSLATE(A2550, ""zh-CN"", ""en"")"),"Inner Mongolia Autonomous Region")</f>
        <v>Inner Mongolia Autonomous Region</v>
      </c>
      <c r="C2624" s="1" t="s">
        <v>2316</v>
      </c>
      <c r="D2624" s="1" t="str">
        <f>IFERROR(__xludf.DUMMYFUNCTION("GOOGLETRANSLATE(C2624, ""zh-CN"", ""en"")"),"Xilin Gol League")</f>
        <v>Xilin Gol League</v>
      </c>
      <c r="E2624" s="1" t="s">
        <v>2409</v>
      </c>
      <c r="F2624" s="1" t="str">
        <f>IFERROR(__xludf.DUMMYFUNCTION("GOOGLETRANSLATE(E2624, ""zh-CN"", ""en"")"),"Erlianhot City")</f>
        <v>Erlianhot City</v>
      </c>
      <c r="G2624" s="1">
        <v>1.52501E11</v>
      </c>
    </row>
    <row r="2625">
      <c r="A2625" s="1" t="s">
        <v>2305</v>
      </c>
      <c r="B2625" s="1" t="str">
        <f>IFERROR(__xludf.DUMMYFUNCTION("GOOGLETRANSLATE(A2551, ""zh-CN"", ""en"")"),"Inner Mongolia Autonomous Region")</f>
        <v>Inner Mongolia Autonomous Region</v>
      </c>
      <c r="C2625" s="1" t="s">
        <v>2316</v>
      </c>
      <c r="D2625" s="1" t="str">
        <f>IFERROR(__xludf.DUMMYFUNCTION("GOOGLETRANSLATE(C2625, ""zh-CN"", ""en"")"),"Xilin Gol League")</f>
        <v>Xilin Gol League</v>
      </c>
      <c r="E2625" s="1" t="s">
        <v>2410</v>
      </c>
      <c r="F2625" s="1" t="str">
        <f>IFERROR(__xludf.DUMMYFUNCTION("GOOGLETRANSLATE(E2625, ""zh-CN"", ""en"")"),"Silinhot City")</f>
        <v>Silinhot City</v>
      </c>
      <c r="G2625" s="1">
        <v>1.52502E11</v>
      </c>
    </row>
    <row r="2626">
      <c r="A2626" s="1" t="s">
        <v>2305</v>
      </c>
      <c r="B2626" s="1" t="str">
        <f>IFERROR(__xludf.DUMMYFUNCTION("GOOGLETRANSLATE(A2552, ""zh-CN"", ""en"")"),"Inner Mongolia Autonomous Region")</f>
        <v>Inner Mongolia Autonomous Region</v>
      </c>
      <c r="C2626" s="1" t="s">
        <v>2316</v>
      </c>
      <c r="D2626" s="1" t="str">
        <f>IFERROR(__xludf.DUMMYFUNCTION("GOOGLETRANSLATE(C2626, ""zh-CN"", ""en"")"),"Xilin Gol League")</f>
        <v>Xilin Gol League</v>
      </c>
      <c r="E2626" s="1" t="s">
        <v>2411</v>
      </c>
      <c r="F2626" s="1" t="str">
        <f>IFERROR(__xludf.DUMMYFUNCTION("GOOGLETRANSLATE(E2626, ""zh-CN"", ""en"")"),"Aboba Banner")</f>
        <v>Aboba Banner</v>
      </c>
      <c r="G2626" s="1">
        <v>1.52522E11</v>
      </c>
    </row>
    <row r="2627">
      <c r="A2627" s="1" t="s">
        <v>2305</v>
      </c>
      <c r="B2627" s="1" t="str">
        <f>IFERROR(__xludf.DUMMYFUNCTION("GOOGLETRANSLATE(A2553, ""zh-CN"", ""en"")"),"Inner Mongolia Autonomous Region")</f>
        <v>Inner Mongolia Autonomous Region</v>
      </c>
      <c r="C2627" s="1" t="s">
        <v>2316</v>
      </c>
      <c r="D2627" s="1" t="str">
        <f>IFERROR(__xludf.DUMMYFUNCTION("GOOGLETRANSLATE(C2627, ""zh-CN"", ""en"")"),"Xilin Gol League")</f>
        <v>Xilin Gol League</v>
      </c>
      <c r="E2627" s="1" t="s">
        <v>2412</v>
      </c>
      <c r="F2627" s="1" t="str">
        <f>IFERROR(__xludf.DUMMYFUNCTION("GOOGLETRANSLATE(E2627, ""zh-CN"", ""en"")"),"Sonit Zuoqi")</f>
        <v>Sonit Zuoqi</v>
      </c>
      <c r="G2627" s="1">
        <v>1.52523E11</v>
      </c>
    </row>
    <row r="2628">
      <c r="A2628" s="1" t="s">
        <v>2305</v>
      </c>
      <c r="B2628" s="1" t="str">
        <f>IFERROR(__xludf.DUMMYFUNCTION("GOOGLETRANSLATE(A2554, ""zh-CN"", ""en"")"),"Inner Mongolia Autonomous Region")</f>
        <v>Inner Mongolia Autonomous Region</v>
      </c>
      <c r="C2628" s="1" t="s">
        <v>2316</v>
      </c>
      <c r="D2628" s="1" t="str">
        <f>IFERROR(__xludf.DUMMYFUNCTION("GOOGLETRANSLATE(C2628, ""zh-CN"", ""en"")"),"Xilin Gol League")</f>
        <v>Xilin Gol League</v>
      </c>
      <c r="E2628" s="1" t="s">
        <v>2413</v>
      </c>
      <c r="F2628" s="1" t="str">
        <f>IFERROR(__xludf.DUMMYFUNCTION("GOOGLETRANSLATE(E2628, ""zh-CN"", ""en"")"),"Sonit Right Banner")</f>
        <v>Sonit Right Banner</v>
      </c>
      <c r="G2628" s="1">
        <v>1.52524E11</v>
      </c>
    </row>
    <row r="2629">
      <c r="A2629" s="1" t="s">
        <v>2305</v>
      </c>
      <c r="B2629" s="1" t="str">
        <f>IFERROR(__xludf.DUMMYFUNCTION("GOOGLETRANSLATE(A2555, ""zh-CN"", ""en"")"),"Inner Mongolia Autonomous Region")</f>
        <v>Inner Mongolia Autonomous Region</v>
      </c>
      <c r="C2629" s="1" t="s">
        <v>2316</v>
      </c>
      <c r="D2629" s="1" t="str">
        <f>IFERROR(__xludf.DUMMYFUNCTION("GOOGLETRANSLATE(C2629, ""zh-CN"", ""en"")"),"Xilin Gol League")</f>
        <v>Xilin Gol League</v>
      </c>
      <c r="E2629" s="1" t="s">
        <v>2414</v>
      </c>
      <c r="F2629" s="1" t="str">
        <f>IFERROR(__xludf.DUMMYFUNCTION("GOOGLETRANSLATE(E2629, ""zh-CN"", ""en"")"),"Dongwu Mount")</f>
        <v>Dongwu Mount</v>
      </c>
      <c r="G2629" s="1">
        <v>1.52525E11</v>
      </c>
    </row>
    <row r="2630">
      <c r="A2630" s="1" t="s">
        <v>2305</v>
      </c>
      <c r="B2630" s="1" t="str">
        <f>IFERROR(__xludf.DUMMYFUNCTION("GOOGLETRANSLATE(A2556, ""zh-CN"", ""en"")"),"Inner Mongolia Autonomous Region")</f>
        <v>Inner Mongolia Autonomous Region</v>
      </c>
      <c r="C2630" s="1" t="s">
        <v>2316</v>
      </c>
      <c r="D2630" s="1" t="str">
        <f>IFERROR(__xludf.DUMMYFUNCTION("GOOGLETRANSLATE(C2630, ""zh-CN"", ""en"")"),"Xilin Gol League")</f>
        <v>Xilin Gol League</v>
      </c>
      <c r="E2630" s="1" t="s">
        <v>2415</v>
      </c>
      <c r="F2630" s="1" t="str">
        <f>IFERROR(__xludf.DUMMYFUNCTION("GOOGLETRANSLATE(E2630, ""zh-CN"", ""en"")"),"West Wusumin Banner")</f>
        <v>West Wusumin Banner</v>
      </c>
      <c r="G2630" s="1">
        <v>1.52526E11</v>
      </c>
    </row>
    <row r="2631">
      <c r="A2631" s="1" t="s">
        <v>2305</v>
      </c>
      <c r="B2631" s="1" t="str">
        <f>IFERROR(__xludf.DUMMYFUNCTION("GOOGLETRANSLATE(A2557, ""zh-CN"", ""en"")"),"Inner Mongolia Autonomous Region")</f>
        <v>Inner Mongolia Autonomous Region</v>
      </c>
      <c r="C2631" s="1" t="s">
        <v>2316</v>
      </c>
      <c r="D2631" s="1" t="str">
        <f>IFERROR(__xludf.DUMMYFUNCTION("GOOGLETRANSLATE(C2631, ""zh-CN"", ""en"")"),"Xilin Gol League")</f>
        <v>Xilin Gol League</v>
      </c>
      <c r="E2631" s="1" t="s">
        <v>2416</v>
      </c>
      <c r="F2631" s="1" t="str">
        <f>IFERROR(__xludf.DUMMYFUNCTION("GOOGLETRANSLATE(E2631, ""zh-CN"", ""en"")"),"Taipi Temple Banner")</f>
        <v>Taipi Temple Banner</v>
      </c>
      <c r="G2631" s="1">
        <v>1.52527E11</v>
      </c>
    </row>
    <row r="2632">
      <c r="A2632" s="1" t="s">
        <v>2305</v>
      </c>
      <c r="B2632" s="1" t="str">
        <f>IFERROR(__xludf.DUMMYFUNCTION("GOOGLETRANSLATE(A2558, ""zh-CN"", ""en"")"),"Inner Mongolia Autonomous Region")</f>
        <v>Inner Mongolia Autonomous Region</v>
      </c>
      <c r="C2632" s="1" t="s">
        <v>2316</v>
      </c>
      <c r="D2632" s="1" t="str">
        <f>IFERROR(__xludf.DUMMYFUNCTION("GOOGLETRANSLATE(C2632, ""zh-CN"", ""en"")"),"Xilin Gol League")</f>
        <v>Xilin Gol League</v>
      </c>
      <c r="E2632" s="1" t="s">
        <v>2417</v>
      </c>
      <c r="F2632" s="1" t="str">
        <f>IFERROR(__xludf.DUMMYFUNCTION("GOOGLETRANSLATE(E2632, ""zh-CN"", ""en"")"),"Mosaic")</f>
        <v>Mosaic</v>
      </c>
      <c r="G2632" s="1">
        <v>1.52528E11</v>
      </c>
    </row>
    <row r="2633">
      <c r="A2633" s="1" t="s">
        <v>2305</v>
      </c>
      <c r="B2633" s="1" t="str">
        <f>IFERROR(__xludf.DUMMYFUNCTION("GOOGLETRANSLATE(A2559, ""zh-CN"", ""en"")"),"Inner Mongolia Autonomous Region")</f>
        <v>Inner Mongolia Autonomous Region</v>
      </c>
      <c r="C2633" s="1" t="s">
        <v>2316</v>
      </c>
      <c r="D2633" s="1" t="str">
        <f>IFERROR(__xludf.DUMMYFUNCTION("GOOGLETRANSLATE(C2633, ""zh-CN"", ""en"")"),"Xilin Gol League")</f>
        <v>Xilin Gol League</v>
      </c>
      <c r="E2633" s="1" t="s">
        <v>2418</v>
      </c>
      <c r="F2633" s="1" t="str">
        <f>IFERROR(__xludf.DUMMYFUNCTION("GOOGLETRANSLATE(E2633, ""zh-CN"", ""en"")"),"Positive white flag")</f>
        <v>Positive white flag</v>
      </c>
      <c r="G2633" s="1">
        <v>1.52529E11</v>
      </c>
    </row>
    <row r="2634">
      <c r="A2634" s="1" t="s">
        <v>2305</v>
      </c>
      <c r="B2634" s="1" t="str">
        <f>IFERROR(__xludf.DUMMYFUNCTION("GOOGLETRANSLATE(A2560, ""zh-CN"", ""en"")"),"Inner Mongolia Autonomous Region")</f>
        <v>Inner Mongolia Autonomous Region</v>
      </c>
      <c r="C2634" s="1" t="s">
        <v>2316</v>
      </c>
      <c r="D2634" s="1" t="str">
        <f>IFERROR(__xludf.DUMMYFUNCTION("GOOGLETRANSLATE(C2634, ""zh-CN"", ""en"")"),"Xilin Gol League")</f>
        <v>Xilin Gol League</v>
      </c>
      <c r="E2634" s="1" t="s">
        <v>2419</v>
      </c>
      <c r="F2634" s="1" t="str">
        <f>IFERROR(__xludf.DUMMYFUNCTION("GOOGLETRANSLATE(E2634, ""zh-CN"", ""en"")"),"Zhenglan Banner")</f>
        <v>Zhenglan Banner</v>
      </c>
      <c r="G2634" s="1">
        <v>1.5253E11</v>
      </c>
    </row>
    <row r="2635">
      <c r="A2635" s="1" t="s">
        <v>2305</v>
      </c>
      <c r="B2635" s="1" t="str">
        <f>IFERROR(__xludf.DUMMYFUNCTION("GOOGLETRANSLATE(A2561, ""zh-CN"", ""en"")"),"Inner Mongolia Autonomous Region")</f>
        <v>Inner Mongolia Autonomous Region</v>
      </c>
      <c r="C2635" s="1" t="s">
        <v>2316</v>
      </c>
      <c r="D2635" s="1" t="str">
        <f>IFERROR(__xludf.DUMMYFUNCTION("GOOGLETRANSLATE(C2635, ""zh-CN"", ""en"")"),"Xilin Gol League")</f>
        <v>Xilin Gol League</v>
      </c>
      <c r="E2635" s="1" t="s">
        <v>2420</v>
      </c>
      <c r="F2635" s="1" t="str">
        <f>IFERROR(__xludf.DUMMYFUNCTION("GOOGLETRANSLATE(E2635, ""zh-CN"", ""en"")"),"Duolun County")</f>
        <v>Duolun County</v>
      </c>
      <c r="G2635" s="1">
        <v>1.52531E11</v>
      </c>
    </row>
    <row r="2636">
      <c r="A2636" s="1" t="s">
        <v>2305</v>
      </c>
      <c r="B2636" s="1" t="str">
        <f>IFERROR(__xludf.DUMMYFUNCTION("GOOGLETRANSLATE(A2562, ""zh-CN"", ""en"")"),"Inner Mongolia Autonomous Region")</f>
        <v>Inner Mongolia Autonomous Region</v>
      </c>
      <c r="C2636" s="1" t="s">
        <v>2316</v>
      </c>
      <c r="D2636" s="1" t="str">
        <f>IFERROR(__xludf.DUMMYFUNCTION("GOOGLETRANSLATE(C2636, ""zh-CN"", ""en"")"),"Xilin Gol League")</f>
        <v>Xilin Gol League</v>
      </c>
      <c r="E2636" s="1" t="s">
        <v>2421</v>
      </c>
      <c r="F2636" s="1" t="str">
        <f>IFERROR(__xludf.DUMMYFUNCTION("GOOGLETRANSLATE(E2636, ""zh-CN"", ""en"")"),"Ulaga Management Committee")</f>
        <v>Ulaga Management Committee</v>
      </c>
      <c r="G2636" s="1">
        <v>1.52571E11</v>
      </c>
    </row>
    <row r="2637">
      <c r="A2637" s="1" t="s">
        <v>2305</v>
      </c>
      <c r="B2637" s="1" t="str">
        <f>IFERROR(__xludf.DUMMYFUNCTION("GOOGLETRANSLATE(A2563, ""zh-CN"", ""en"")"),"Inner Mongolia Autonomous Region")</f>
        <v>Inner Mongolia Autonomous Region</v>
      </c>
      <c r="C2637" s="1" t="s">
        <v>2317</v>
      </c>
      <c r="D2637" s="1" t="str">
        <f>IFERROR(__xludf.DUMMYFUNCTION("GOOGLETRANSLATE(C2637, ""zh-CN"", ""en"")"),"Alxa League")</f>
        <v>Alxa League</v>
      </c>
      <c r="E2637" s="1" t="s">
        <v>2422</v>
      </c>
      <c r="F2637" s="1" t="str">
        <f>IFERROR(__xludf.DUMMYFUNCTION("GOOGLETRANSLATE(E2637, ""zh-CN"", ""en"")"),"Alxa Zuoqi")</f>
        <v>Alxa Zuoqi</v>
      </c>
      <c r="G2637" s="1">
        <v>1.52921E11</v>
      </c>
    </row>
    <row r="2638">
      <c r="A2638" s="1" t="s">
        <v>2305</v>
      </c>
      <c r="B2638" s="1" t="str">
        <f>IFERROR(__xludf.DUMMYFUNCTION("GOOGLETRANSLATE(A2564, ""zh-CN"", ""en"")"),"Inner Mongolia Autonomous Region")</f>
        <v>Inner Mongolia Autonomous Region</v>
      </c>
      <c r="C2638" s="1" t="s">
        <v>2317</v>
      </c>
      <c r="D2638" s="1" t="str">
        <f>IFERROR(__xludf.DUMMYFUNCTION("GOOGLETRANSLATE(C2638, ""zh-CN"", ""en"")"),"Alxa League")</f>
        <v>Alxa League</v>
      </c>
      <c r="E2638" s="1" t="s">
        <v>2423</v>
      </c>
      <c r="F2638" s="1" t="str">
        <f>IFERROR(__xludf.DUMMYFUNCTION("GOOGLETRANSLATE(E2638, ""zh-CN"", ""en"")"),"Alashan Right Banner")</f>
        <v>Alashan Right Banner</v>
      </c>
      <c r="G2638" s="1">
        <v>1.52922E11</v>
      </c>
    </row>
    <row r="2639">
      <c r="A2639" s="1" t="s">
        <v>2305</v>
      </c>
      <c r="B2639" s="1" t="str">
        <f>IFERROR(__xludf.DUMMYFUNCTION("GOOGLETRANSLATE(A2565, ""zh-CN"", ""en"")"),"Inner Mongolia Autonomous Region")</f>
        <v>Inner Mongolia Autonomous Region</v>
      </c>
      <c r="C2639" s="1" t="s">
        <v>2317</v>
      </c>
      <c r="D2639" s="1" t="str">
        <f>IFERROR(__xludf.DUMMYFUNCTION("GOOGLETRANSLATE(C2639, ""zh-CN"", ""en"")"),"Alxa League")</f>
        <v>Alxa League</v>
      </c>
      <c r="E2639" s="1" t="s">
        <v>2424</v>
      </c>
      <c r="F2639" s="1" t="str">
        <f>IFERROR(__xludf.DUMMYFUNCTION("GOOGLETRANSLATE(E2639, ""zh-CN"", ""en"")"),"Ejin Banner")</f>
        <v>Ejin Banner</v>
      </c>
      <c r="G2639" s="1">
        <v>1.52923E11</v>
      </c>
    </row>
    <row r="2640">
      <c r="A2640" s="1" t="s">
        <v>2305</v>
      </c>
      <c r="B2640" s="1" t="str">
        <f>IFERROR(__xludf.DUMMYFUNCTION("GOOGLETRANSLATE(A2566, ""zh-CN"", ""en"")"),"Inner Mongolia Autonomous Region")</f>
        <v>Inner Mongolia Autonomous Region</v>
      </c>
      <c r="C2640" s="1" t="s">
        <v>2317</v>
      </c>
      <c r="D2640" s="1" t="str">
        <f>IFERROR(__xludf.DUMMYFUNCTION("GOOGLETRANSLATE(C2640, ""zh-CN"", ""en"")"),"Alxa League")</f>
        <v>Alxa League</v>
      </c>
      <c r="E2640" s="1" t="s">
        <v>2425</v>
      </c>
      <c r="F2640" s="1" t="str">
        <f>IFERROR(__xludf.DUMMYFUNCTION("GOOGLETRANSLATE(E2640, ""zh-CN"", ""en"")"),"Inner Mongolia Alxa High -tech Industrial Development Zone")</f>
        <v>Inner Mongolia Alxa High -tech Industrial Development Zone</v>
      </c>
      <c r="G2640" s="1">
        <v>1.52971E11</v>
      </c>
    </row>
    <row r="2641">
      <c r="A2641" s="1" t="s">
        <v>2426</v>
      </c>
      <c r="B2641" s="1" t="str">
        <f>IFERROR(__xludf.DUMMYFUNCTION("GOOGLETRANSLATE(A2567, ""zh-CN"", ""en"")"),"Inner Mongolia Autonomous Region")</f>
        <v>Inner Mongolia Autonomous Region</v>
      </c>
      <c r="C2641" s="1" t="s">
        <v>8</v>
      </c>
      <c r="D2641" s="1" t="str">
        <f>IFERROR(__xludf.DUMMYFUNCTION("GOOGLETRANSLATE(C2641, ""zh-CN"", ""en"")"),"Na")</f>
        <v>Na</v>
      </c>
      <c r="E2641" s="1" t="s">
        <v>8</v>
      </c>
      <c r="F2641" s="1" t="str">
        <f>IFERROR(__xludf.DUMMYFUNCTION("GOOGLETRANSLATE(E2641, ""zh-CN"", ""en"")"),"Na")</f>
        <v>Na</v>
      </c>
      <c r="G2641" s="1">
        <v>22.0</v>
      </c>
    </row>
    <row r="2642">
      <c r="A2642" s="1" t="s">
        <v>2426</v>
      </c>
      <c r="B2642" s="1" t="str">
        <f>IFERROR(__xludf.DUMMYFUNCTION("GOOGLETRANSLATE(A2568, ""zh-CN"", ""en"")"),"Inner Mongolia Autonomous Region")</f>
        <v>Inner Mongolia Autonomous Region</v>
      </c>
      <c r="C2642" s="1" t="s">
        <v>2427</v>
      </c>
      <c r="D2642" s="1" t="str">
        <f>IFERROR(__xludf.DUMMYFUNCTION("GOOGLETRANSLATE(C2642, ""zh-CN"", ""en"")"),"Changchun City")</f>
        <v>Changchun City</v>
      </c>
      <c r="E2642" s="1" t="s">
        <v>8</v>
      </c>
      <c r="F2642" s="1" t="str">
        <f>IFERROR(__xludf.DUMMYFUNCTION("GOOGLETRANSLATE(E2642, ""zh-CN"", ""en"")"),"Na")</f>
        <v>Na</v>
      </c>
      <c r="G2642" s="1">
        <v>2.201E11</v>
      </c>
    </row>
    <row r="2643">
      <c r="A2643" s="1" t="s">
        <v>2426</v>
      </c>
      <c r="B2643" s="1" t="str">
        <f>IFERROR(__xludf.DUMMYFUNCTION("GOOGLETRANSLATE(A2569, ""zh-CN"", ""en"")"),"Inner Mongolia Autonomous Region")</f>
        <v>Inner Mongolia Autonomous Region</v>
      </c>
      <c r="C2643" s="1" t="s">
        <v>2428</v>
      </c>
      <c r="D2643" s="1" t="str">
        <f>IFERROR(__xludf.DUMMYFUNCTION("GOOGLETRANSLATE(C2643, ""zh-CN"", ""en"")"),"Jilin City")</f>
        <v>Jilin City</v>
      </c>
      <c r="E2643" s="1" t="s">
        <v>8</v>
      </c>
      <c r="F2643" s="1" t="str">
        <f>IFERROR(__xludf.DUMMYFUNCTION("GOOGLETRANSLATE(E2643, ""zh-CN"", ""en"")"),"Na")</f>
        <v>Na</v>
      </c>
      <c r="G2643" s="1">
        <v>2.202E11</v>
      </c>
    </row>
    <row r="2644">
      <c r="A2644" s="1" t="s">
        <v>2426</v>
      </c>
      <c r="B2644" s="1" t="str">
        <f>IFERROR(__xludf.DUMMYFUNCTION("GOOGLETRANSLATE(A2570, ""zh-CN"", ""en"")"),"Inner Mongolia Autonomous Region")</f>
        <v>Inner Mongolia Autonomous Region</v>
      </c>
      <c r="C2644" s="1" t="s">
        <v>2429</v>
      </c>
      <c r="D2644" s="1" t="str">
        <f>IFERROR(__xludf.DUMMYFUNCTION("GOOGLETRANSLATE(C2644, ""zh-CN"", ""en"")"),"Siping City")</f>
        <v>Siping City</v>
      </c>
      <c r="E2644" s="1" t="s">
        <v>8</v>
      </c>
      <c r="F2644" s="1" t="str">
        <f>IFERROR(__xludf.DUMMYFUNCTION("GOOGLETRANSLATE(E2644, ""zh-CN"", ""en"")"),"Na")</f>
        <v>Na</v>
      </c>
      <c r="G2644" s="1">
        <v>2.203E11</v>
      </c>
    </row>
    <row r="2645">
      <c r="A2645" s="1" t="s">
        <v>2426</v>
      </c>
      <c r="B2645" s="1" t="str">
        <f>IFERROR(__xludf.DUMMYFUNCTION("GOOGLETRANSLATE(A2571, ""zh-CN"", ""en"")"),"Inner Mongolia Autonomous Region")</f>
        <v>Inner Mongolia Autonomous Region</v>
      </c>
      <c r="C2645" s="1" t="s">
        <v>2430</v>
      </c>
      <c r="D2645" s="1" t="str">
        <f>IFERROR(__xludf.DUMMYFUNCTION("GOOGLETRANSLATE(C2645, ""zh-CN"", ""en"")"),"Liaoyuan City")</f>
        <v>Liaoyuan City</v>
      </c>
      <c r="E2645" s="1" t="s">
        <v>8</v>
      </c>
      <c r="F2645" s="1" t="str">
        <f>IFERROR(__xludf.DUMMYFUNCTION("GOOGLETRANSLATE(E2645, ""zh-CN"", ""en"")"),"Na")</f>
        <v>Na</v>
      </c>
      <c r="G2645" s="1">
        <v>2.204E11</v>
      </c>
    </row>
    <row r="2646">
      <c r="A2646" s="1" t="s">
        <v>2426</v>
      </c>
      <c r="B2646" s="1" t="str">
        <f>IFERROR(__xludf.DUMMYFUNCTION("GOOGLETRANSLATE(A2572, ""zh-CN"", ""en"")"),"Inner Mongolia Autonomous Region")</f>
        <v>Inner Mongolia Autonomous Region</v>
      </c>
      <c r="C2646" s="1" t="s">
        <v>2431</v>
      </c>
      <c r="D2646" s="1" t="str">
        <f>IFERROR(__xludf.DUMMYFUNCTION("GOOGLETRANSLATE(C2646, ""zh-CN"", ""en"")"),"Tonghua City")</f>
        <v>Tonghua City</v>
      </c>
      <c r="E2646" s="1" t="s">
        <v>8</v>
      </c>
      <c r="F2646" s="1" t="str">
        <f>IFERROR(__xludf.DUMMYFUNCTION("GOOGLETRANSLATE(E2646, ""zh-CN"", ""en"")"),"Na")</f>
        <v>Na</v>
      </c>
      <c r="G2646" s="1">
        <v>2.205E11</v>
      </c>
    </row>
    <row r="2647">
      <c r="A2647" s="1" t="s">
        <v>2426</v>
      </c>
      <c r="B2647" s="1" t="str">
        <f>IFERROR(__xludf.DUMMYFUNCTION("GOOGLETRANSLATE(A2573, ""zh-CN"", ""en"")"),"Inner Mongolia Autonomous Region")</f>
        <v>Inner Mongolia Autonomous Region</v>
      </c>
      <c r="C2647" s="1" t="s">
        <v>2432</v>
      </c>
      <c r="D2647" s="1" t="str">
        <f>IFERROR(__xludf.DUMMYFUNCTION("GOOGLETRANSLATE(C2647, ""zh-CN"", ""en"")"),"Baishan City")</f>
        <v>Baishan City</v>
      </c>
      <c r="E2647" s="1" t="s">
        <v>8</v>
      </c>
      <c r="F2647" s="1" t="str">
        <f>IFERROR(__xludf.DUMMYFUNCTION("GOOGLETRANSLATE(E2647, ""zh-CN"", ""en"")"),"Na")</f>
        <v>Na</v>
      </c>
      <c r="G2647" s="1">
        <v>2.206E11</v>
      </c>
    </row>
    <row r="2648">
      <c r="A2648" s="1" t="s">
        <v>2426</v>
      </c>
      <c r="B2648" s="1" t="str">
        <f>IFERROR(__xludf.DUMMYFUNCTION("GOOGLETRANSLATE(A2574, ""zh-CN"", ""en"")"),"Inner Mongolia Autonomous Region")</f>
        <v>Inner Mongolia Autonomous Region</v>
      </c>
      <c r="C2648" s="1" t="s">
        <v>2433</v>
      </c>
      <c r="D2648" s="1" t="str">
        <f>IFERROR(__xludf.DUMMYFUNCTION("GOOGLETRANSLATE(C2648, ""zh-CN"", ""en"")"),"Songyuan City")</f>
        <v>Songyuan City</v>
      </c>
      <c r="E2648" s="1" t="s">
        <v>8</v>
      </c>
      <c r="F2648" s="1" t="str">
        <f>IFERROR(__xludf.DUMMYFUNCTION("GOOGLETRANSLATE(E2648, ""zh-CN"", ""en"")"),"Na")</f>
        <v>Na</v>
      </c>
      <c r="G2648" s="1">
        <v>2.207E11</v>
      </c>
    </row>
    <row r="2649">
      <c r="A2649" s="1" t="s">
        <v>2426</v>
      </c>
      <c r="B2649" s="1" t="str">
        <f>IFERROR(__xludf.DUMMYFUNCTION("GOOGLETRANSLATE(A2575, ""zh-CN"", ""en"")"),"Inner Mongolia Autonomous Region")</f>
        <v>Inner Mongolia Autonomous Region</v>
      </c>
      <c r="C2649" s="1" t="s">
        <v>2434</v>
      </c>
      <c r="D2649" s="1" t="str">
        <f>IFERROR(__xludf.DUMMYFUNCTION("GOOGLETRANSLATE(C2649, ""zh-CN"", ""en"")"),"White city")</f>
        <v>White city</v>
      </c>
      <c r="E2649" s="1" t="s">
        <v>8</v>
      </c>
      <c r="F2649" s="1" t="str">
        <f>IFERROR(__xludf.DUMMYFUNCTION("GOOGLETRANSLATE(E2649, ""zh-CN"", ""en"")"),"Na")</f>
        <v>Na</v>
      </c>
      <c r="G2649" s="1">
        <v>2.208E11</v>
      </c>
    </row>
    <row r="2650">
      <c r="A2650" s="1" t="s">
        <v>2426</v>
      </c>
      <c r="B2650" s="1" t="str">
        <f>IFERROR(__xludf.DUMMYFUNCTION("GOOGLETRANSLATE(A2576, ""zh-CN"", ""en"")"),"Inner Mongolia Autonomous Region")</f>
        <v>Inner Mongolia Autonomous Region</v>
      </c>
      <c r="C2650" s="1" t="s">
        <v>2435</v>
      </c>
      <c r="D2650" s="1" t="str">
        <f>IFERROR(__xludf.DUMMYFUNCTION("GOOGLETRANSLATE(C2650, ""zh-CN"", ""en"")"),"Yanbian Korean Autonomous Prefecture")</f>
        <v>Yanbian Korean Autonomous Prefecture</v>
      </c>
      <c r="E2650" s="1" t="s">
        <v>8</v>
      </c>
      <c r="F2650" s="1" t="str">
        <f>IFERROR(__xludf.DUMMYFUNCTION("GOOGLETRANSLATE(E2650, ""zh-CN"", ""en"")"),"Na")</f>
        <v>Na</v>
      </c>
      <c r="G2650" s="1">
        <v>2.224E11</v>
      </c>
    </row>
    <row r="2651">
      <c r="A2651" s="1" t="s">
        <v>2426</v>
      </c>
      <c r="B2651" s="1" t="str">
        <f>IFERROR(__xludf.DUMMYFUNCTION("GOOGLETRANSLATE(A2577, ""zh-CN"", ""en"")"),"Inner Mongolia Autonomous Region")</f>
        <v>Inner Mongolia Autonomous Region</v>
      </c>
      <c r="C2651" s="1" t="s">
        <v>2427</v>
      </c>
      <c r="D2651" s="1" t="str">
        <f>IFERROR(__xludf.DUMMYFUNCTION("GOOGLETRANSLATE(C2651, ""zh-CN"", ""en"")"),"Changchun City")</f>
        <v>Changchun City</v>
      </c>
      <c r="E2651" s="1" t="s">
        <v>24</v>
      </c>
      <c r="F2651" s="1" t="str">
        <f>IFERROR(__xludf.DUMMYFUNCTION("GOOGLETRANSLATE(E2651, ""zh-CN"", ""en"")"),"City area")</f>
        <v>City area</v>
      </c>
      <c r="G2651" s="1">
        <v>2.20101E11</v>
      </c>
    </row>
    <row r="2652">
      <c r="A2652" s="1" t="s">
        <v>2426</v>
      </c>
      <c r="B2652" s="1" t="str">
        <f>IFERROR(__xludf.DUMMYFUNCTION("GOOGLETRANSLATE(A2578, ""zh-CN"", ""en"")"),"Inner Mongolia Autonomous Region")</f>
        <v>Inner Mongolia Autonomous Region</v>
      </c>
      <c r="C2652" s="1" t="s">
        <v>2427</v>
      </c>
      <c r="D2652" s="1" t="str">
        <f>IFERROR(__xludf.DUMMYFUNCTION("GOOGLETRANSLATE(C2652, ""zh-CN"", ""en"")"),"Changchun City")</f>
        <v>Changchun City</v>
      </c>
      <c r="E2652" s="1" t="s">
        <v>2436</v>
      </c>
      <c r="F2652" s="1" t="str">
        <f>IFERROR(__xludf.DUMMYFUNCTION("GOOGLETRANSLATE(E2652, ""zh-CN"", ""en"")"),"Nanguan District")</f>
        <v>Nanguan District</v>
      </c>
      <c r="G2652" s="1">
        <v>2.20102E11</v>
      </c>
    </row>
    <row r="2653">
      <c r="A2653" s="1" t="s">
        <v>2426</v>
      </c>
      <c r="B2653" s="1" t="str">
        <f>IFERROR(__xludf.DUMMYFUNCTION("GOOGLETRANSLATE(A2579, ""zh-CN"", ""en"")"),"Inner Mongolia Autonomous Region")</f>
        <v>Inner Mongolia Autonomous Region</v>
      </c>
      <c r="C2653" s="1" t="s">
        <v>2427</v>
      </c>
      <c r="D2653" s="1" t="str">
        <f>IFERROR(__xludf.DUMMYFUNCTION("GOOGLETRANSLATE(C2653, ""zh-CN"", ""en"")"),"Changchun City")</f>
        <v>Changchun City</v>
      </c>
      <c r="E2653" s="1" t="s">
        <v>2437</v>
      </c>
      <c r="F2653" s="1" t="str">
        <f>IFERROR(__xludf.DUMMYFUNCTION("GOOGLETRANSLATE(E2653, ""zh-CN"", ""en"")"),"Wide city")</f>
        <v>Wide city</v>
      </c>
      <c r="G2653" s="1">
        <v>2.20103E11</v>
      </c>
    </row>
    <row r="2654">
      <c r="A2654" s="1" t="s">
        <v>2426</v>
      </c>
      <c r="B2654" s="1" t="str">
        <f>IFERROR(__xludf.DUMMYFUNCTION("GOOGLETRANSLATE(A2580, ""zh-CN"", ""en"")"),"Inner Mongolia Autonomous Region")</f>
        <v>Inner Mongolia Autonomous Region</v>
      </c>
      <c r="C2654" s="1" t="s">
        <v>2427</v>
      </c>
      <c r="D2654" s="1" t="str">
        <f>IFERROR(__xludf.DUMMYFUNCTION("GOOGLETRANSLATE(C2654, ""zh-CN"", ""en"")"),"Changchun City")</f>
        <v>Changchun City</v>
      </c>
      <c r="E2654" s="1" t="s">
        <v>2438</v>
      </c>
      <c r="F2654" s="1" t="str">
        <f>IFERROR(__xludf.DUMMYFUNCTION("GOOGLETRANSLATE(E2654, ""zh-CN"", ""en"")"),"Chaoyang District")</f>
        <v>Chaoyang District</v>
      </c>
      <c r="G2654" s="1">
        <v>2.20104E11</v>
      </c>
    </row>
    <row r="2655">
      <c r="A2655" s="1" t="s">
        <v>2426</v>
      </c>
      <c r="B2655" s="1" t="str">
        <f>IFERROR(__xludf.DUMMYFUNCTION("GOOGLETRANSLATE(A2581, ""zh-CN"", ""en"")"),"Inner Mongolia Autonomous Region")</f>
        <v>Inner Mongolia Autonomous Region</v>
      </c>
      <c r="C2655" s="1" t="s">
        <v>2427</v>
      </c>
      <c r="D2655" s="1" t="str">
        <f>IFERROR(__xludf.DUMMYFUNCTION("GOOGLETRANSLATE(C2655, ""zh-CN"", ""en"")"),"Changchun City")</f>
        <v>Changchun City</v>
      </c>
      <c r="E2655" s="1" t="s">
        <v>2439</v>
      </c>
      <c r="F2655" s="1" t="str">
        <f>IFERROR(__xludf.DUMMYFUNCTION("GOOGLETRANSLATE(E2655, ""zh-CN"", ""en"")"),"Second -road area")</f>
        <v>Second -road area</v>
      </c>
      <c r="G2655" s="1">
        <v>2.20105E11</v>
      </c>
    </row>
    <row r="2656">
      <c r="A2656" s="1" t="s">
        <v>2426</v>
      </c>
      <c r="B2656" s="1" t="str">
        <f>IFERROR(__xludf.DUMMYFUNCTION("GOOGLETRANSLATE(A2582, ""zh-CN"", ""en"")"),"Inner Mongolia Autonomous Region")</f>
        <v>Inner Mongolia Autonomous Region</v>
      </c>
      <c r="C2656" s="1" t="s">
        <v>2427</v>
      </c>
      <c r="D2656" s="1" t="str">
        <f>IFERROR(__xludf.DUMMYFUNCTION("GOOGLETRANSLATE(C2656, ""zh-CN"", ""en"")"),"Changchun City")</f>
        <v>Changchun City</v>
      </c>
      <c r="E2656" s="1" t="s">
        <v>2440</v>
      </c>
      <c r="F2656" s="1" t="str">
        <f>IFERROR(__xludf.DUMMYFUNCTION("GOOGLETRANSLATE(E2656, ""zh-CN"", ""en"")"),"Green park")</f>
        <v>Green park</v>
      </c>
      <c r="G2656" s="1">
        <v>2.20106E11</v>
      </c>
    </row>
    <row r="2657">
      <c r="A2657" s="1" t="s">
        <v>2426</v>
      </c>
      <c r="B2657" s="1" t="str">
        <f>IFERROR(__xludf.DUMMYFUNCTION("GOOGLETRANSLATE(A2583, ""zh-CN"", ""en"")"),"Inner Mongolia Autonomous Region")</f>
        <v>Inner Mongolia Autonomous Region</v>
      </c>
      <c r="C2657" s="1" t="s">
        <v>2427</v>
      </c>
      <c r="D2657" s="1" t="str">
        <f>IFERROR(__xludf.DUMMYFUNCTION("GOOGLETRANSLATE(C2657, ""zh-CN"", ""en"")"),"Changchun City")</f>
        <v>Changchun City</v>
      </c>
      <c r="E2657" s="1" t="s">
        <v>2441</v>
      </c>
      <c r="F2657" s="1" t="str">
        <f>IFERROR(__xludf.DUMMYFUNCTION("GOOGLETRANSLATE(E2657, ""zh-CN"", ""en"")"),"Shuangyang District")</f>
        <v>Shuangyang District</v>
      </c>
      <c r="G2657" s="1">
        <v>2.20112E11</v>
      </c>
    </row>
    <row r="2658">
      <c r="A2658" s="1" t="s">
        <v>2426</v>
      </c>
      <c r="B2658" s="1" t="str">
        <f>IFERROR(__xludf.DUMMYFUNCTION("GOOGLETRANSLATE(A2584, ""zh-CN"", ""en"")"),"Inner Mongolia Autonomous Region")</f>
        <v>Inner Mongolia Autonomous Region</v>
      </c>
      <c r="C2658" s="1" t="s">
        <v>2427</v>
      </c>
      <c r="D2658" s="1" t="str">
        <f>IFERROR(__xludf.DUMMYFUNCTION("GOOGLETRANSLATE(C2658, ""zh-CN"", ""en"")"),"Changchun City")</f>
        <v>Changchun City</v>
      </c>
      <c r="E2658" s="1" t="s">
        <v>2442</v>
      </c>
      <c r="F2658" s="1" t="str">
        <f>IFERROR(__xludf.DUMMYFUNCTION("GOOGLETRANSLATE(E2658, ""zh-CN"", ""en"")"),"Jiutai District")</f>
        <v>Jiutai District</v>
      </c>
      <c r="G2658" s="1">
        <v>2.20113E11</v>
      </c>
    </row>
    <row r="2659">
      <c r="A2659" s="1" t="s">
        <v>2426</v>
      </c>
      <c r="B2659" s="1" t="str">
        <f>IFERROR(__xludf.DUMMYFUNCTION("GOOGLETRANSLATE(A2585, ""zh-CN"", ""en"")"),"Inner Mongolia Autonomous Region")</f>
        <v>Inner Mongolia Autonomous Region</v>
      </c>
      <c r="C2659" s="1" t="s">
        <v>2427</v>
      </c>
      <c r="D2659" s="1" t="str">
        <f>IFERROR(__xludf.DUMMYFUNCTION("GOOGLETRANSLATE(C2659, ""zh-CN"", ""en"")"),"Changchun City")</f>
        <v>Changchun City</v>
      </c>
      <c r="E2659" s="1" t="s">
        <v>2443</v>
      </c>
      <c r="F2659" s="1" t="str">
        <f>IFERROR(__xludf.DUMMYFUNCTION("GOOGLETRANSLATE(E2659, ""zh-CN"", ""en"")"),"Nong'an County")</f>
        <v>Nong'an County</v>
      </c>
      <c r="G2659" s="1">
        <v>2.20122E11</v>
      </c>
    </row>
    <row r="2660">
      <c r="A2660" s="1" t="s">
        <v>2426</v>
      </c>
      <c r="B2660" s="1" t="str">
        <f>IFERROR(__xludf.DUMMYFUNCTION("GOOGLETRANSLATE(A2586, ""zh-CN"", ""en"")"),"Inner Mongolia Autonomous Region")</f>
        <v>Inner Mongolia Autonomous Region</v>
      </c>
      <c r="C2660" s="1" t="s">
        <v>2427</v>
      </c>
      <c r="D2660" s="1" t="str">
        <f>IFERROR(__xludf.DUMMYFUNCTION("GOOGLETRANSLATE(C2660, ""zh-CN"", ""en"")"),"Changchun City")</f>
        <v>Changchun City</v>
      </c>
      <c r="E2660" s="1" t="s">
        <v>2444</v>
      </c>
      <c r="F2660" s="1" t="str">
        <f>IFERROR(__xludf.DUMMYFUNCTION("GOOGLETRANSLATE(E2660, ""zh-CN"", ""en"")"),"Changchun Economic and Technological Development Zone")</f>
        <v>Changchun Economic and Technological Development Zone</v>
      </c>
      <c r="G2660" s="1">
        <v>2.20171E11</v>
      </c>
    </row>
    <row r="2661">
      <c r="A2661" s="1" t="s">
        <v>2426</v>
      </c>
      <c r="B2661" s="1" t="str">
        <f>IFERROR(__xludf.DUMMYFUNCTION("GOOGLETRANSLATE(A2587, ""zh-CN"", ""en"")"),"Inner Mongolia Autonomous Region")</f>
        <v>Inner Mongolia Autonomous Region</v>
      </c>
      <c r="C2661" s="1" t="s">
        <v>2427</v>
      </c>
      <c r="D2661" s="1" t="str">
        <f>IFERROR(__xludf.DUMMYFUNCTION("GOOGLETRANSLATE(C2661, ""zh-CN"", ""en"")"),"Changchun City")</f>
        <v>Changchun City</v>
      </c>
      <c r="E2661" s="1" t="s">
        <v>2445</v>
      </c>
      <c r="F2661" s="1" t="str">
        <f>IFERROR(__xludf.DUMMYFUNCTION("GOOGLETRANSLATE(E2661, ""zh-CN"", ""en"")"),"Changchun Jingyue High -tech Industrial Development Zone")</f>
        <v>Changchun Jingyue High -tech Industrial Development Zone</v>
      </c>
      <c r="G2661" s="1">
        <v>2.20172E11</v>
      </c>
    </row>
    <row r="2662">
      <c r="A2662" s="1" t="s">
        <v>2426</v>
      </c>
      <c r="B2662" s="1" t="str">
        <f>IFERROR(__xludf.DUMMYFUNCTION("GOOGLETRANSLATE(A2588, ""zh-CN"", ""en"")"),"Inner Mongolia Autonomous Region")</f>
        <v>Inner Mongolia Autonomous Region</v>
      </c>
      <c r="C2662" s="1" t="s">
        <v>2427</v>
      </c>
      <c r="D2662" s="1" t="str">
        <f>IFERROR(__xludf.DUMMYFUNCTION("GOOGLETRANSLATE(C2662, ""zh-CN"", ""en"")"),"Changchun City")</f>
        <v>Changchun City</v>
      </c>
      <c r="E2662" s="1" t="s">
        <v>2446</v>
      </c>
      <c r="F2662" s="1" t="str">
        <f>IFERROR(__xludf.DUMMYFUNCTION("GOOGLETRANSLATE(E2662, ""zh-CN"", ""en"")"),"Changchun High -tech Industrial Development Zone")</f>
        <v>Changchun High -tech Industrial Development Zone</v>
      </c>
      <c r="G2662" s="1">
        <v>2.20173E11</v>
      </c>
    </row>
    <row r="2663">
      <c r="A2663" s="1" t="s">
        <v>2426</v>
      </c>
      <c r="B2663" s="1" t="str">
        <f>IFERROR(__xludf.DUMMYFUNCTION("GOOGLETRANSLATE(A2589, ""zh-CN"", ""en"")"),"Inner Mongolia Autonomous Region")</f>
        <v>Inner Mongolia Autonomous Region</v>
      </c>
      <c r="C2663" s="1" t="s">
        <v>2427</v>
      </c>
      <c r="D2663" s="1" t="str">
        <f>IFERROR(__xludf.DUMMYFUNCTION("GOOGLETRANSLATE(C2663, ""zh-CN"", ""en"")"),"Changchun City")</f>
        <v>Changchun City</v>
      </c>
      <c r="E2663" s="1" t="s">
        <v>2447</v>
      </c>
      <c r="F2663" s="1" t="str">
        <f>IFERROR(__xludf.DUMMYFUNCTION("GOOGLETRANSLATE(E2663, ""zh-CN"", ""en"")"),"Changchun Automobile Economic and Technological Development Zone")</f>
        <v>Changchun Automobile Economic and Technological Development Zone</v>
      </c>
      <c r="G2663" s="1">
        <v>2.20174E11</v>
      </c>
    </row>
    <row r="2664">
      <c r="A2664" s="1" t="s">
        <v>2426</v>
      </c>
      <c r="B2664" s="1" t="str">
        <f>IFERROR(__xludf.DUMMYFUNCTION("GOOGLETRANSLATE(A2590, ""zh-CN"", ""en"")"),"Inner Mongolia Autonomous Region")</f>
        <v>Inner Mongolia Autonomous Region</v>
      </c>
      <c r="C2664" s="1" t="s">
        <v>2427</v>
      </c>
      <c r="D2664" s="1" t="str">
        <f>IFERROR(__xludf.DUMMYFUNCTION("GOOGLETRANSLATE(C2664, ""zh-CN"", ""en"")"),"Changchun City")</f>
        <v>Changchun City</v>
      </c>
      <c r="E2664" s="1" t="s">
        <v>2448</v>
      </c>
      <c r="F2664" s="1" t="str">
        <f>IFERROR(__xludf.DUMMYFUNCTION("GOOGLETRANSLATE(E2664, ""zh-CN"", ""en"")"),"Yushu City")</f>
        <v>Yushu City</v>
      </c>
      <c r="G2664" s="1">
        <v>2.20182E11</v>
      </c>
    </row>
    <row r="2665">
      <c r="A2665" s="1" t="s">
        <v>2426</v>
      </c>
      <c r="B2665" s="1" t="str">
        <f>IFERROR(__xludf.DUMMYFUNCTION("GOOGLETRANSLATE(A2591, ""zh-CN"", ""en"")"),"Inner Mongolia Autonomous Region")</f>
        <v>Inner Mongolia Autonomous Region</v>
      </c>
      <c r="C2665" s="1" t="s">
        <v>2427</v>
      </c>
      <c r="D2665" s="1" t="str">
        <f>IFERROR(__xludf.DUMMYFUNCTION("GOOGLETRANSLATE(C2665, ""zh-CN"", ""en"")"),"Changchun City")</f>
        <v>Changchun City</v>
      </c>
      <c r="E2665" s="1" t="s">
        <v>2449</v>
      </c>
      <c r="F2665" s="1" t="str">
        <f>IFERROR(__xludf.DUMMYFUNCTION("GOOGLETRANSLATE(E2665, ""zh-CN"", ""en"")"),"Dehui City")</f>
        <v>Dehui City</v>
      </c>
      <c r="G2665" s="1">
        <v>2.20183E11</v>
      </c>
    </row>
    <row r="2666">
      <c r="A2666" s="1" t="s">
        <v>2426</v>
      </c>
      <c r="B2666" s="1" t="str">
        <f>IFERROR(__xludf.DUMMYFUNCTION("GOOGLETRANSLATE(A2592, ""zh-CN"", ""en"")"),"Inner Mongolia Autonomous Region")</f>
        <v>Inner Mongolia Autonomous Region</v>
      </c>
      <c r="C2666" s="1" t="s">
        <v>2427</v>
      </c>
      <c r="D2666" s="1" t="str">
        <f>IFERROR(__xludf.DUMMYFUNCTION("GOOGLETRANSLATE(C2666, ""zh-CN"", ""en"")"),"Changchun City")</f>
        <v>Changchun City</v>
      </c>
      <c r="E2666" s="1" t="s">
        <v>2450</v>
      </c>
      <c r="F2666" s="1" t="str">
        <f>IFERROR(__xludf.DUMMYFUNCTION("GOOGLETRANSLATE(E2666, ""zh-CN"", ""en"")"),"Gongsingling City")</f>
        <v>Gongsingling City</v>
      </c>
      <c r="G2666" s="1">
        <v>2.20184E11</v>
      </c>
    </row>
    <row r="2667">
      <c r="A2667" s="1" t="s">
        <v>2426</v>
      </c>
      <c r="B2667" s="1" t="str">
        <f>IFERROR(__xludf.DUMMYFUNCTION("GOOGLETRANSLATE(A2593, ""zh-CN"", ""en"")"),"Inner Mongolia Autonomous Region")</f>
        <v>Inner Mongolia Autonomous Region</v>
      </c>
      <c r="C2667" s="1" t="s">
        <v>2428</v>
      </c>
      <c r="D2667" s="1" t="str">
        <f>IFERROR(__xludf.DUMMYFUNCTION("GOOGLETRANSLATE(C2667, ""zh-CN"", ""en"")"),"Jilin City")</f>
        <v>Jilin City</v>
      </c>
      <c r="E2667" s="1" t="s">
        <v>24</v>
      </c>
      <c r="F2667" s="1" t="str">
        <f>IFERROR(__xludf.DUMMYFUNCTION("GOOGLETRANSLATE(E2667, ""zh-CN"", ""en"")"),"City area")</f>
        <v>City area</v>
      </c>
      <c r="G2667" s="1">
        <v>2.20201E11</v>
      </c>
    </row>
    <row r="2668">
      <c r="A2668" s="1" t="s">
        <v>2426</v>
      </c>
      <c r="B2668" s="1" t="str">
        <f>IFERROR(__xludf.DUMMYFUNCTION("GOOGLETRANSLATE(A2594, ""zh-CN"", ""en"")"),"Inner Mongolia Autonomous Region")</f>
        <v>Inner Mongolia Autonomous Region</v>
      </c>
      <c r="C2668" s="1" t="s">
        <v>2428</v>
      </c>
      <c r="D2668" s="1" t="str">
        <f>IFERROR(__xludf.DUMMYFUNCTION("GOOGLETRANSLATE(C2668, ""zh-CN"", ""en"")"),"Jilin City")</f>
        <v>Jilin City</v>
      </c>
      <c r="E2668" s="1" t="s">
        <v>2451</v>
      </c>
      <c r="F2668" s="1" t="str">
        <f>IFERROR(__xludf.DUMMYFUNCTION("GOOGLETRANSLATE(E2668, ""zh-CN"", ""en"")"),"Changyi District")</f>
        <v>Changyi District</v>
      </c>
      <c r="G2668" s="1">
        <v>2.20202E11</v>
      </c>
    </row>
    <row r="2669">
      <c r="A2669" s="1" t="s">
        <v>2426</v>
      </c>
      <c r="B2669" s="1" t="str">
        <f>IFERROR(__xludf.DUMMYFUNCTION("GOOGLETRANSLATE(A2595, ""zh-CN"", ""en"")"),"Inner Mongolia Autonomous Region")</f>
        <v>Inner Mongolia Autonomous Region</v>
      </c>
      <c r="C2669" s="1" t="s">
        <v>2428</v>
      </c>
      <c r="D2669" s="1" t="str">
        <f>IFERROR(__xludf.DUMMYFUNCTION("GOOGLETRANSLATE(C2669, ""zh-CN"", ""en"")"),"Jilin City")</f>
        <v>Jilin City</v>
      </c>
      <c r="E2669" s="1" t="s">
        <v>2452</v>
      </c>
      <c r="F2669" s="1" t="str">
        <f>IFERROR(__xludf.DUMMYFUNCTION("GOOGLETRANSLATE(E2669, ""zh-CN"", ""en"")"),"Longtan District")</f>
        <v>Longtan District</v>
      </c>
      <c r="G2669" s="1">
        <v>2.20203E11</v>
      </c>
    </row>
    <row r="2670">
      <c r="A2670" s="1" t="s">
        <v>2426</v>
      </c>
      <c r="B2670" s="1" t="str">
        <f>IFERROR(__xludf.DUMMYFUNCTION("GOOGLETRANSLATE(A2596, ""zh-CN"", ""en"")"),"Inner Mongolia Autonomous Region")</f>
        <v>Inner Mongolia Autonomous Region</v>
      </c>
      <c r="C2670" s="1" t="s">
        <v>2428</v>
      </c>
      <c r="D2670" s="1" t="str">
        <f>IFERROR(__xludf.DUMMYFUNCTION("GOOGLETRANSLATE(C2670, ""zh-CN"", ""en"")"),"Jilin City")</f>
        <v>Jilin City</v>
      </c>
      <c r="E2670" s="1" t="s">
        <v>2453</v>
      </c>
      <c r="F2670" s="1" t="str">
        <f>IFERROR(__xludf.DUMMYFUNCTION("GOOGLETRANSLATE(E2670, ""zh-CN"", ""en"")"),"Camping area")</f>
        <v>Camping area</v>
      </c>
      <c r="G2670" s="1">
        <v>2.20204E11</v>
      </c>
    </row>
    <row r="2671">
      <c r="A2671" s="1" t="s">
        <v>2426</v>
      </c>
      <c r="B2671" s="1" t="str">
        <f>IFERROR(__xludf.DUMMYFUNCTION("GOOGLETRANSLATE(A2597, ""zh-CN"", ""en"")"),"Inner Mongolia Autonomous Region")</f>
        <v>Inner Mongolia Autonomous Region</v>
      </c>
      <c r="C2671" s="1" t="s">
        <v>2428</v>
      </c>
      <c r="D2671" s="1" t="str">
        <f>IFERROR(__xludf.DUMMYFUNCTION("GOOGLETRANSLATE(C2671, ""zh-CN"", ""en"")"),"Jilin City")</f>
        <v>Jilin City</v>
      </c>
      <c r="E2671" s="1" t="s">
        <v>2454</v>
      </c>
      <c r="F2671" s="1" t="str">
        <f>IFERROR(__xludf.DUMMYFUNCTION("GOOGLETRANSLATE(E2671, ""zh-CN"", ""en"")"),"Full area")</f>
        <v>Full area</v>
      </c>
      <c r="G2671" s="1">
        <v>2.20211E11</v>
      </c>
    </row>
    <row r="2672">
      <c r="A2672" s="1" t="s">
        <v>2426</v>
      </c>
      <c r="B2672" s="1" t="str">
        <f>IFERROR(__xludf.DUMMYFUNCTION("GOOGLETRANSLATE(A2598, ""zh-CN"", ""en"")"),"Inner Mongolia Autonomous Region")</f>
        <v>Inner Mongolia Autonomous Region</v>
      </c>
      <c r="C2672" s="1" t="s">
        <v>2428</v>
      </c>
      <c r="D2672" s="1" t="str">
        <f>IFERROR(__xludf.DUMMYFUNCTION("GOOGLETRANSLATE(C2672, ""zh-CN"", ""en"")"),"Jilin City")</f>
        <v>Jilin City</v>
      </c>
      <c r="E2672" s="1" t="s">
        <v>2455</v>
      </c>
      <c r="F2672" s="1" t="str">
        <f>IFERROR(__xludf.DUMMYFUNCTION("GOOGLETRANSLATE(E2672, ""zh-CN"", ""en"")"),"Yongji County")</f>
        <v>Yongji County</v>
      </c>
      <c r="G2672" s="1">
        <v>2.20221E11</v>
      </c>
    </row>
    <row r="2673">
      <c r="A2673" s="1" t="s">
        <v>2426</v>
      </c>
      <c r="B2673" s="1" t="str">
        <f>IFERROR(__xludf.DUMMYFUNCTION("GOOGLETRANSLATE(A2599, ""zh-CN"", ""en"")"),"Inner Mongolia Autonomous Region")</f>
        <v>Inner Mongolia Autonomous Region</v>
      </c>
      <c r="C2673" s="1" t="s">
        <v>2428</v>
      </c>
      <c r="D2673" s="1" t="str">
        <f>IFERROR(__xludf.DUMMYFUNCTION("GOOGLETRANSLATE(C2673, ""zh-CN"", ""en"")"),"Jilin City")</f>
        <v>Jilin City</v>
      </c>
      <c r="E2673" s="1" t="s">
        <v>2456</v>
      </c>
      <c r="F2673" s="1" t="str">
        <f>IFERROR(__xludf.DUMMYFUNCTION("GOOGLETRANSLATE(E2673, ""zh-CN"", ""en"")"),"Jilin Economic Development Zone")</f>
        <v>Jilin Economic Development Zone</v>
      </c>
      <c r="G2673" s="1">
        <v>2.20271E11</v>
      </c>
    </row>
    <row r="2674">
      <c r="A2674" s="1" t="s">
        <v>2426</v>
      </c>
      <c r="B2674" s="1" t="str">
        <f>IFERROR(__xludf.DUMMYFUNCTION("GOOGLETRANSLATE(A2600, ""zh-CN"", ""en"")"),"Inner Mongolia Autonomous Region")</f>
        <v>Inner Mongolia Autonomous Region</v>
      </c>
      <c r="C2674" s="1" t="s">
        <v>2428</v>
      </c>
      <c r="D2674" s="1" t="str">
        <f>IFERROR(__xludf.DUMMYFUNCTION("GOOGLETRANSLATE(C2674, ""zh-CN"", ""en"")"),"Jilin City")</f>
        <v>Jilin City</v>
      </c>
      <c r="E2674" s="1" t="s">
        <v>2457</v>
      </c>
      <c r="F2674" s="1" t="str">
        <f>IFERROR(__xludf.DUMMYFUNCTION("GOOGLETRANSLATE(E2674, ""zh-CN"", ""en"")"),"Jilin High -tech Industrial Development Zone")</f>
        <v>Jilin High -tech Industrial Development Zone</v>
      </c>
      <c r="G2674" s="1">
        <v>2.20272E11</v>
      </c>
    </row>
    <row r="2675">
      <c r="A2675" s="1" t="s">
        <v>2426</v>
      </c>
      <c r="B2675" s="1" t="str">
        <f>IFERROR(__xludf.DUMMYFUNCTION("GOOGLETRANSLATE(A2601, ""zh-CN"", ""en"")"),"Inner Mongolia Autonomous Region")</f>
        <v>Inner Mongolia Autonomous Region</v>
      </c>
      <c r="C2675" s="1" t="s">
        <v>2428</v>
      </c>
      <c r="D2675" s="1" t="str">
        <f>IFERROR(__xludf.DUMMYFUNCTION("GOOGLETRANSLATE(C2675, ""zh-CN"", ""en"")"),"Jilin City")</f>
        <v>Jilin City</v>
      </c>
      <c r="E2675" s="1" t="s">
        <v>2458</v>
      </c>
      <c r="F2675" s="1" t="str">
        <f>IFERROR(__xludf.DUMMYFUNCTION("GOOGLETRANSLATE(E2675, ""zh-CN"", ""en"")"),"Jilin China Singapore Food Area")</f>
        <v>Jilin China Singapore Food Area</v>
      </c>
      <c r="G2675" s="1">
        <v>2.20273E11</v>
      </c>
    </row>
    <row r="2676">
      <c r="A2676" s="1" t="s">
        <v>2426</v>
      </c>
      <c r="B2676" s="1" t="str">
        <f>IFERROR(__xludf.DUMMYFUNCTION("GOOGLETRANSLATE(A2602, ""zh-CN"", ""en"")"),"Inner Mongolia Autonomous Region")</f>
        <v>Inner Mongolia Autonomous Region</v>
      </c>
      <c r="C2676" s="1" t="s">
        <v>2428</v>
      </c>
      <c r="D2676" s="1" t="str">
        <f>IFERROR(__xludf.DUMMYFUNCTION("GOOGLETRANSLATE(C2676, ""zh-CN"", ""en"")"),"Jilin City")</f>
        <v>Jilin City</v>
      </c>
      <c r="E2676" s="1" t="s">
        <v>2459</v>
      </c>
      <c r="F2676" s="1" t="str">
        <f>IFERROR(__xludf.DUMMYFUNCTION("GOOGLETRANSLATE(E2676, ""zh-CN"", ""en"")"),"Luohe City")</f>
        <v>Luohe City</v>
      </c>
      <c r="G2676" s="1">
        <v>2.20281E11</v>
      </c>
    </row>
    <row r="2677">
      <c r="A2677" s="1" t="s">
        <v>2426</v>
      </c>
      <c r="B2677" s="1" t="str">
        <f>IFERROR(__xludf.DUMMYFUNCTION("GOOGLETRANSLATE(A2603, ""zh-CN"", ""en"")"),"Inner Mongolia Autonomous Region")</f>
        <v>Inner Mongolia Autonomous Region</v>
      </c>
      <c r="C2677" s="1" t="s">
        <v>2428</v>
      </c>
      <c r="D2677" s="1" t="str">
        <f>IFERROR(__xludf.DUMMYFUNCTION("GOOGLETRANSLATE(C2677, ""zh-CN"", ""en"")"),"Jilin City")</f>
        <v>Jilin City</v>
      </c>
      <c r="E2677" s="1" t="s">
        <v>2460</v>
      </c>
      <c r="F2677" s="1" t="str">
        <f>IFERROR(__xludf.DUMMYFUNCTION("GOOGLETRANSLATE(E2677, ""zh-CN"", ""en"")"),"Huadian City")</f>
        <v>Huadian City</v>
      </c>
      <c r="G2677" s="1">
        <v>2.20282E11</v>
      </c>
    </row>
    <row r="2678">
      <c r="A2678" s="1" t="s">
        <v>2426</v>
      </c>
      <c r="B2678" s="1" t="str">
        <f>IFERROR(__xludf.DUMMYFUNCTION("GOOGLETRANSLATE(A2604, ""zh-CN"", ""en"")"),"Inner Mongolia Autonomous Region")</f>
        <v>Inner Mongolia Autonomous Region</v>
      </c>
      <c r="C2678" s="1" t="s">
        <v>2428</v>
      </c>
      <c r="D2678" s="1" t="str">
        <f>IFERROR(__xludf.DUMMYFUNCTION("GOOGLETRANSLATE(C2678, ""zh-CN"", ""en"")"),"Jilin City")</f>
        <v>Jilin City</v>
      </c>
      <c r="E2678" s="1" t="s">
        <v>2461</v>
      </c>
      <c r="F2678" s="1" t="str">
        <f>IFERROR(__xludf.DUMMYFUNCTION("GOOGLETRANSLATE(E2678, ""zh-CN"", ""en"")"),"Shulan City")</f>
        <v>Shulan City</v>
      </c>
      <c r="G2678" s="1">
        <v>2.20283E11</v>
      </c>
    </row>
    <row r="2679">
      <c r="A2679" s="1" t="s">
        <v>2426</v>
      </c>
      <c r="B2679" s="1" t="str">
        <f>IFERROR(__xludf.DUMMYFUNCTION("GOOGLETRANSLATE(A2605, ""zh-CN"", ""en"")"),"Inner Mongolia Autonomous Region")</f>
        <v>Inner Mongolia Autonomous Region</v>
      </c>
      <c r="C2679" s="1" t="s">
        <v>2428</v>
      </c>
      <c r="D2679" s="1" t="str">
        <f>IFERROR(__xludf.DUMMYFUNCTION("GOOGLETRANSLATE(C2679, ""zh-CN"", ""en"")"),"Jilin City")</f>
        <v>Jilin City</v>
      </c>
      <c r="E2679" s="1" t="s">
        <v>2462</v>
      </c>
      <c r="F2679" s="1" t="str">
        <f>IFERROR(__xludf.DUMMYFUNCTION("GOOGLETRANSLATE(E2679, ""zh-CN"", ""en"")"),"Rock city")</f>
        <v>Rock city</v>
      </c>
      <c r="G2679" s="1">
        <v>2.20284E11</v>
      </c>
    </row>
    <row r="2680">
      <c r="A2680" s="1" t="s">
        <v>2426</v>
      </c>
      <c r="B2680" s="1" t="str">
        <f>IFERROR(__xludf.DUMMYFUNCTION("GOOGLETRANSLATE(A2606, ""zh-CN"", ""en"")"),"Inner Mongolia Autonomous Region")</f>
        <v>Inner Mongolia Autonomous Region</v>
      </c>
      <c r="C2680" s="1" t="s">
        <v>2429</v>
      </c>
      <c r="D2680" s="1" t="str">
        <f>IFERROR(__xludf.DUMMYFUNCTION("GOOGLETRANSLATE(C2680, ""zh-CN"", ""en"")"),"Siping City")</f>
        <v>Siping City</v>
      </c>
      <c r="E2680" s="1" t="s">
        <v>24</v>
      </c>
      <c r="F2680" s="1" t="str">
        <f>IFERROR(__xludf.DUMMYFUNCTION("GOOGLETRANSLATE(E2680, ""zh-CN"", ""en"")"),"City area")</f>
        <v>City area</v>
      </c>
      <c r="G2680" s="1">
        <v>2.20301E11</v>
      </c>
    </row>
    <row r="2681">
      <c r="A2681" s="1" t="s">
        <v>2426</v>
      </c>
      <c r="B2681" s="1" t="str">
        <f>IFERROR(__xludf.DUMMYFUNCTION("GOOGLETRANSLATE(A2607, ""zh-CN"", ""en"")"),"Inner Mongolia Autonomous Region")</f>
        <v>Inner Mongolia Autonomous Region</v>
      </c>
      <c r="C2681" s="1" t="s">
        <v>2429</v>
      </c>
      <c r="D2681" s="1" t="str">
        <f>IFERROR(__xludf.DUMMYFUNCTION("GOOGLETRANSLATE(C2681, ""zh-CN"", ""en"")"),"Siping City")</f>
        <v>Siping City</v>
      </c>
      <c r="E2681" s="1" t="s">
        <v>2463</v>
      </c>
      <c r="F2681" s="1" t="str">
        <f>IFERROR(__xludf.DUMMYFUNCTION("GOOGLETRANSLATE(E2681, ""zh-CN"", ""en"")"),"Tiexi District")</f>
        <v>Tiexi District</v>
      </c>
      <c r="G2681" s="1">
        <v>2.20302E11</v>
      </c>
    </row>
    <row r="2682">
      <c r="A2682" s="1" t="s">
        <v>2426</v>
      </c>
      <c r="B2682" s="1" t="str">
        <f>IFERROR(__xludf.DUMMYFUNCTION("GOOGLETRANSLATE(A2608, ""zh-CN"", ""en"")"),"Inner Mongolia Autonomous Region")</f>
        <v>Inner Mongolia Autonomous Region</v>
      </c>
      <c r="C2682" s="1" t="s">
        <v>2429</v>
      </c>
      <c r="D2682" s="1" t="str">
        <f>IFERROR(__xludf.DUMMYFUNCTION("GOOGLETRANSLATE(C2682, ""zh-CN"", ""en"")"),"Siping City")</f>
        <v>Siping City</v>
      </c>
      <c r="E2682" s="1" t="s">
        <v>2464</v>
      </c>
      <c r="F2682" s="1" t="str">
        <f>IFERROR(__xludf.DUMMYFUNCTION("GOOGLETRANSLATE(E2682, ""zh-CN"", ""en"")"),"East")</f>
        <v>East</v>
      </c>
      <c r="G2682" s="1">
        <v>2.20303E11</v>
      </c>
    </row>
    <row r="2683">
      <c r="A2683" s="1" t="s">
        <v>2426</v>
      </c>
      <c r="B2683" s="1" t="str">
        <f>IFERROR(__xludf.DUMMYFUNCTION("GOOGLETRANSLATE(A2609, ""zh-CN"", ""en"")"),"Inner Mongolia Autonomous Region")</f>
        <v>Inner Mongolia Autonomous Region</v>
      </c>
      <c r="C2683" s="1" t="s">
        <v>2429</v>
      </c>
      <c r="D2683" s="1" t="str">
        <f>IFERROR(__xludf.DUMMYFUNCTION("GOOGLETRANSLATE(C2683, ""zh-CN"", ""en"")"),"Siping City")</f>
        <v>Siping City</v>
      </c>
      <c r="E2683" s="1" t="s">
        <v>2465</v>
      </c>
      <c r="F2683" s="1" t="str">
        <f>IFERROR(__xludf.DUMMYFUNCTION("GOOGLETRANSLATE(E2683, ""zh-CN"", ""en"")"),"Lishu County")</f>
        <v>Lishu County</v>
      </c>
      <c r="G2683" s="1">
        <v>2.20322E11</v>
      </c>
    </row>
    <row r="2684">
      <c r="A2684" s="1" t="s">
        <v>2426</v>
      </c>
      <c r="B2684" s="1" t="str">
        <f>IFERROR(__xludf.DUMMYFUNCTION("GOOGLETRANSLATE(A2610, ""zh-CN"", ""en"")"),"Inner Mongolia Autonomous Region")</f>
        <v>Inner Mongolia Autonomous Region</v>
      </c>
      <c r="C2684" s="1" t="s">
        <v>2429</v>
      </c>
      <c r="D2684" s="1" t="str">
        <f>IFERROR(__xludf.DUMMYFUNCTION("GOOGLETRANSLATE(C2684, ""zh-CN"", ""en"")"),"Siping City")</f>
        <v>Siping City</v>
      </c>
      <c r="E2684" s="1" t="s">
        <v>2466</v>
      </c>
      <c r="F2684" s="1" t="str">
        <f>IFERROR(__xludf.DUMMYFUNCTION("GOOGLETRANSLATE(E2684, ""zh-CN"", ""en"")"),"Yitong Manchu Autonomous County")</f>
        <v>Yitong Manchu Autonomous County</v>
      </c>
      <c r="G2684" s="1">
        <v>2.20323E11</v>
      </c>
    </row>
    <row r="2685">
      <c r="A2685" s="1" t="s">
        <v>2426</v>
      </c>
      <c r="B2685" s="1" t="str">
        <f>IFERROR(__xludf.DUMMYFUNCTION("GOOGLETRANSLATE(A2611, ""zh-CN"", ""en"")"),"Inner Mongolia Autonomous Region")</f>
        <v>Inner Mongolia Autonomous Region</v>
      </c>
      <c r="C2685" s="1" t="s">
        <v>2429</v>
      </c>
      <c r="D2685" s="1" t="str">
        <f>IFERROR(__xludf.DUMMYFUNCTION("GOOGLETRANSLATE(C2685, ""zh-CN"", ""en"")"),"Siping City")</f>
        <v>Siping City</v>
      </c>
      <c r="E2685" s="1" t="s">
        <v>2467</v>
      </c>
      <c r="F2685" s="1" t="str">
        <f>IFERROR(__xludf.DUMMYFUNCTION("GOOGLETRANSLATE(E2685, ""zh-CN"", ""en"")"),"Shuangliao City")</f>
        <v>Shuangliao City</v>
      </c>
      <c r="G2685" s="1">
        <v>2.20382E11</v>
      </c>
    </row>
    <row r="2686">
      <c r="A2686" s="1" t="s">
        <v>2426</v>
      </c>
      <c r="B2686" s="1" t="str">
        <f>IFERROR(__xludf.DUMMYFUNCTION("GOOGLETRANSLATE(A2612, ""zh-CN"", ""en"")"),"Inner Mongolia Autonomous Region")</f>
        <v>Inner Mongolia Autonomous Region</v>
      </c>
      <c r="C2686" s="1" t="s">
        <v>2430</v>
      </c>
      <c r="D2686" s="1" t="str">
        <f>IFERROR(__xludf.DUMMYFUNCTION("GOOGLETRANSLATE(C2686, ""zh-CN"", ""en"")"),"Liaoyuan City")</f>
        <v>Liaoyuan City</v>
      </c>
      <c r="E2686" s="1" t="s">
        <v>24</v>
      </c>
      <c r="F2686" s="1" t="str">
        <f>IFERROR(__xludf.DUMMYFUNCTION("GOOGLETRANSLATE(E2686, ""zh-CN"", ""en"")"),"City area")</f>
        <v>City area</v>
      </c>
      <c r="G2686" s="1">
        <v>2.20401E11</v>
      </c>
    </row>
    <row r="2687">
      <c r="A2687" s="1" t="s">
        <v>2426</v>
      </c>
      <c r="B2687" s="1" t="str">
        <f>IFERROR(__xludf.DUMMYFUNCTION("GOOGLETRANSLATE(A2613, ""zh-CN"", ""en"")"),"Inner Mongolia Autonomous Region")</f>
        <v>Inner Mongolia Autonomous Region</v>
      </c>
      <c r="C2687" s="1" t="s">
        <v>2430</v>
      </c>
      <c r="D2687" s="1" t="str">
        <f>IFERROR(__xludf.DUMMYFUNCTION("GOOGLETRANSLATE(C2687, ""zh-CN"", ""en"")"),"Liaoyuan City")</f>
        <v>Liaoyuan City</v>
      </c>
      <c r="E2687" s="1" t="s">
        <v>2468</v>
      </c>
      <c r="F2687" s="1" t="str">
        <f>IFERROR(__xludf.DUMMYFUNCTION("GOOGLETRANSLATE(E2687, ""zh-CN"", ""en"")"),"Longshan District")</f>
        <v>Longshan District</v>
      </c>
      <c r="G2687" s="1">
        <v>2.20402E11</v>
      </c>
    </row>
    <row r="2688">
      <c r="A2688" s="1" t="s">
        <v>2426</v>
      </c>
      <c r="B2688" s="1" t="str">
        <f>IFERROR(__xludf.DUMMYFUNCTION("GOOGLETRANSLATE(A2614, ""zh-CN"", ""en"")"),"Inner Mongolia Autonomous Region")</f>
        <v>Inner Mongolia Autonomous Region</v>
      </c>
      <c r="C2688" s="1" t="s">
        <v>2430</v>
      </c>
      <c r="D2688" s="1" t="str">
        <f>IFERROR(__xludf.DUMMYFUNCTION("GOOGLETRANSLATE(C2688, ""zh-CN"", ""en"")"),"Liaoyuan City")</f>
        <v>Liaoyuan City</v>
      </c>
      <c r="E2688" s="1" t="s">
        <v>1111</v>
      </c>
      <c r="F2688" s="1" t="str">
        <f>IFERROR(__xludf.DUMMYFUNCTION("GOOGLETRANSLATE(E2688, ""zh-CN"", ""en"")"),"Xi'an")</f>
        <v>Xi'an</v>
      </c>
      <c r="G2688" s="1">
        <v>2.20403E11</v>
      </c>
    </row>
    <row r="2689">
      <c r="A2689" s="1" t="s">
        <v>2426</v>
      </c>
      <c r="B2689" s="1" t="str">
        <f>IFERROR(__xludf.DUMMYFUNCTION("GOOGLETRANSLATE(A2615, ""zh-CN"", ""en"")"),"Inner Mongolia Autonomous Region")</f>
        <v>Inner Mongolia Autonomous Region</v>
      </c>
      <c r="C2689" s="1" t="s">
        <v>2430</v>
      </c>
      <c r="D2689" s="1" t="str">
        <f>IFERROR(__xludf.DUMMYFUNCTION("GOOGLETRANSLATE(C2689, ""zh-CN"", ""en"")"),"Liaoyuan City")</f>
        <v>Liaoyuan City</v>
      </c>
      <c r="E2689" s="1" t="s">
        <v>2469</v>
      </c>
      <c r="F2689" s="1" t="str">
        <f>IFERROR(__xludf.DUMMYFUNCTION("GOOGLETRANSLATE(E2689, ""zh-CN"", ""en"")"),"Dongfeng County")</f>
        <v>Dongfeng County</v>
      </c>
      <c r="G2689" s="1">
        <v>2.20421E11</v>
      </c>
    </row>
    <row r="2690">
      <c r="A2690" s="1" t="s">
        <v>2426</v>
      </c>
      <c r="B2690" s="1" t="str">
        <f>IFERROR(__xludf.DUMMYFUNCTION("GOOGLETRANSLATE(A2616, ""zh-CN"", ""en"")"),"Inner Mongolia Autonomous Region")</f>
        <v>Inner Mongolia Autonomous Region</v>
      </c>
      <c r="C2690" s="1" t="s">
        <v>2430</v>
      </c>
      <c r="D2690" s="1" t="str">
        <f>IFERROR(__xludf.DUMMYFUNCTION("GOOGLETRANSLATE(C2690, ""zh-CN"", ""en"")"),"Liaoyuan City")</f>
        <v>Liaoyuan City</v>
      </c>
      <c r="E2690" s="1" t="s">
        <v>2470</v>
      </c>
      <c r="F2690" s="1" t="str">
        <f>IFERROR(__xludf.DUMMYFUNCTION("GOOGLETRANSLATE(E2690, ""zh-CN"", ""en"")"),"Dongliao County")</f>
        <v>Dongliao County</v>
      </c>
      <c r="G2690" s="1">
        <v>2.20422E11</v>
      </c>
    </row>
    <row r="2691">
      <c r="A2691" s="1" t="s">
        <v>2426</v>
      </c>
      <c r="B2691" s="1" t="str">
        <f>IFERROR(__xludf.DUMMYFUNCTION("GOOGLETRANSLATE(A2617, ""zh-CN"", ""en"")"),"Inner Mongolia Autonomous Region")</f>
        <v>Inner Mongolia Autonomous Region</v>
      </c>
      <c r="C2691" s="1" t="s">
        <v>2431</v>
      </c>
      <c r="D2691" s="1" t="str">
        <f>IFERROR(__xludf.DUMMYFUNCTION("GOOGLETRANSLATE(C2691, ""zh-CN"", ""en"")"),"Tonghua City")</f>
        <v>Tonghua City</v>
      </c>
      <c r="E2691" s="1" t="s">
        <v>24</v>
      </c>
      <c r="F2691" s="1" t="str">
        <f>IFERROR(__xludf.DUMMYFUNCTION("GOOGLETRANSLATE(E2691, ""zh-CN"", ""en"")"),"City area")</f>
        <v>City area</v>
      </c>
      <c r="G2691" s="1">
        <v>2.20501E11</v>
      </c>
    </row>
    <row r="2692">
      <c r="A2692" s="1" t="s">
        <v>2426</v>
      </c>
      <c r="B2692" s="1" t="str">
        <f>IFERROR(__xludf.DUMMYFUNCTION("GOOGLETRANSLATE(A2618, ""zh-CN"", ""en"")"),"Inner Mongolia Autonomous Region")</f>
        <v>Inner Mongolia Autonomous Region</v>
      </c>
      <c r="C2692" s="1" t="s">
        <v>2431</v>
      </c>
      <c r="D2692" s="1" t="str">
        <f>IFERROR(__xludf.DUMMYFUNCTION("GOOGLETRANSLATE(C2692, ""zh-CN"", ""en"")"),"Tonghua City")</f>
        <v>Tonghua City</v>
      </c>
      <c r="E2692" s="1" t="s">
        <v>2471</v>
      </c>
      <c r="F2692" s="1" t="str">
        <f>IFERROR(__xludf.DUMMYFUNCTION("GOOGLETRANSLATE(E2692, ""zh-CN"", ""en"")"),"Dongchang District")</f>
        <v>Dongchang District</v>
      </c>
      <c r="G2692" s="1">
        <v>2.20502E11</v>
      </c>
    </row>
    <row r="2693">
      <c r="A2693" s="1" t="s">
        <v>2426</v>
      </c>
      <c r="B2693" s="1" t="str">
        <f>IFERROR(__xludf.DUMMYFUNCTION("GOOGLETRANSLATE(A2619, ""zh-CN"", ""en"")"),"Inner Mongolia Autonomous Region")</f>
        <v>Inner Mongolia Autonomous Region</v>
      </c>
      <c r="C2693" s="1" t="s">
        <v>2431</v>
      </c>
      <c r="D2693" s="1" t="str">
        <f>IFERROR(__xludf.DUMMYFUNCTION("GOOGLETRANSLATE(C2693, ""zh-CN"", ""en"")"),"Tonghua City")</f>
        <v>Tonghua City</v>
      </c>
      <c r="E2693" s="1" t="s">
        <v>2472</v>
      </c>
      <c r="F2693" s="1" t="str">
        <f>IFERROR(__xludf.DUMMYFUNCTION("GOOGLETRANSLATE(E2693, ""zh-CN"", ""en"")"),"Erdaojiang District")</f>
        <v>Erdaojiang District</v>
      </c>
      <c r="G2693" s="1">
        <v>2.20503E11</v>
      </c>
    </row>
    <row r="2694">
      <c r="A2694" s="1" t="s">
        <v>2426</v>
      </c>
      <c r="B2694" s="1" t="str">
        <f>IFERROR(__xludf.DUMMYFUNCTION("GOOGLETRANSLATE(A2620, ""zh-CN"", ""en"")"),"Inner Mongolia Autonomous Region")</f>
        <v>Inner Mongolia Autonomous Region</v>
      </c>
      <c r="C2694" s="1" t="s">
        <v>2431</v>
      </c>
      <c r="D2694" s="1" t="str">
        <f>IFERROR(__xludf.DUMMYFUNCTION("GOOGLETRANSLATE(C2694, ""zh-CN"", ""en"")"),"Tonghua City")</f>
        <v>Tonghua City</v>
      </c>
      <c r="E2694" s="1" t="s">
        <v>2473</v>
      </c>
      <c r="F2694" s="1" t="str">
        <f>IFERROR(__xludf.DUMMYFUNCTION("GOOGLETRANSLATE(E2694, ""zh-CN"", ""en"")"),"Tonghua County")</f>
        <v>Tonghua County</v>
      </c>
      <c r="G2694" s="1">
        <v>2.20521E11</v>
      </c>
    </row>
    <row r="2695">
      <c r="A2695" s="1" t="s">
        <v>2426</v>
      </c>
      <c r="B2695" s="1" t="str">
        <f>IFERROR(__xludf.DUMMYFUNCTION("GOOGLETRANSLATE(A2621, ""zh-CN"", ""en"")"),"Inner Mongolia Autonomous Region")</f>
        <v>Inner Mongolia Autonomous Region</v>
      </c>
      <c r="C2695" s="1" t="s">
        <v>2431</v>
      </c>
      <c r="D2695" s="1" t="str">
        <f>IFERROR(__xludf.DUMMYFUNCTION("GOOGLETRANSLATE(C2695, ""zh-CN"", ""en"")"),"Tonghua City")</f>
        <v>Tonghua City</v>
      </c>
      <c r="E2695" s="1" t="s">
        <v>2474</v>
      </c>
      <c r="F2695" s="1" t="str">
        <f>IFERROR(__xludf.DUMMYFUNCTION("GOOGLETRANSLATE(E2695, ""zh-CN"", ""en"")"),"Huinan County")</f>
        <v>Huinan County</v>
      </c>
      <c r="G2695" s="1">
        <v>2.20523E11</v>
      </c>
    </row>
    <row r="2696">
      <c r="A2696" s="1" t="s">
        <v>2426</v>
      </c>
      <c r="B2696" s="1" t="str">
        <f>IFERROR(__xludf.DUMMYFUNCTION("GOOGLETRANSLATE(A2622, ""zh-CN"", ""en"")"),"Inner Mongolia Autonomous Region")</f>
        <v>Inner Mongolia Autonomous Region</v>
      </c>
      <c r="C2696" s="1" t="s">
        <v>2431</v>
      </c>
      <c r="D2696" s="1" t="str">
        <f>IFERROR(__xludf.DUMMYFUNCTION("GOOGLETRANSLATE(C2696, ""zh-CN"", ""en"")"),"Tonghua City")</f>
        <v>Tonghua City</v>
      </c>
      <c r="E2696" s="1" t="s">
        <v>2475</v>
      </c>
      <c r="F2696" s="1" t="str">
        <f>IFERROR(__xludf.DUMMYFUNCTION("GOOGLETRANSLATE(E2696, ""zh-CN"", ""en"")"),"Liuhe County")</f>
        <v>Liuhe County</v>
      </c>
      <c r="G2696" s="1">
        <v>2.20524E11</v>
      </c>
    </row>
    <row r="2697">
      <c r="A2697" s="1" t="s">
        <v>2426</v>
      </c>
      <c r="B2697" s="1" t="str">
        <f>IFERROR(__xludf.DUMMYFUNCTION("GOOGLETRANSLATE(A2623, ""zh-CN"", ""en"")"),"Inner Mongolia Autonomous Region")</f>
        <v>Inner Mongolia Autonomous Region</v>
      </c>
      <c r="C2697" s="1" t="s">
        <v>2431</v>
      </c>
      <c r="D2697" s="1" t="str">
        <f>IFERROR(__xludf.DUMMYFUNCTION("GOOGLETRANSLATE(C2697, ""zh-CN"", ""en"")"),"Tonghua City")</f>
        <v>Tonghua City</v>
      </c>
      <c r="E2697" s="1" t="s">
        <v>2476</v>
      </c>
      <c r="F2697" s="1" t="str">
        <f>IFERROR(__xludf.DUMMYFUNCTION("GOOGLETRANSLATE(E2697, ""zh-CN"", ""en"")"),"Meihekou City")</f>
        <v>Meihekou City</v>
      </c>
      <c r="G2697" s="1">
        <v>2.20581E11</v>
      </c>
    </row>
    <row r="2698">
      <c r="A2698" s="1" t="s">
        <v>2426</v>
      </c>
      <c r="B2698" s="1" t="str">
        <f>IFERROR(__xludf.DUMMYFUNCTION("GOOGLETRANSLATE(A2624, ""zh-CN"", ""en"")"),"Inner Mongolia Autonomous Region")</f>
        <v>Inner Mongolia Autonomous Region</v>
      </c>
      <c r="C2698" s="1" t="s">
        <v>2431</v>
      </c>
      <c r="D2698" s="1" t="str">
        <f>IFERROR(__xludf.DUMMYFUNCTION("GOOGLETRANSLATE(C2698, ""zh-CN"", ""en"")"),"Tonghua City")</f>
        <v>Tonghua City</v>
      </c>
      <c r="E2698" s="1" t="s">
        <v>2477</v>
      </c>
      <c r="F2698" s="1" t="str">
        <f>IFERROR(__xludf.DUMMYFUNCTION("GOOGLETRANSLATE(E2698, ""zh-CN"", ""en"")"),"Ji'an City")</f>
        <v>Ji'an City</v>
      </c>
      <c r="G2698" s="1">
        <v>2.20582E11</v>
      </c>
    </row>
    <row r="2699">
      <c r="A2699" s="1" t="s">
        <v>2426</v>
      </c>
      <c r="B2699" s="1" t="str">
        <f>IFERROR(__xludf.DUMMYFUNCTION("GOOGLETRANSLATE(A2625, ""zh-CN"", ""en"")"),"Inner Mongolia Autonomous Region")</f>
        <v>Inner Mongolia Autonomous Region</v>
      </c>
      <c r="C2699" s="1" t="s">
        <v>2432</v>
      </c>
      <c r="D2699" s="1" t="str">
        <f>IFERROR(__xludf.DUMMYFUNCTION("GOOGLETRANSLATE(C2699, ""zh-CN"", ""en"")"),"Baishan City")</f>
        <v>Baishan City</v>
      </c>
      <c r="E2699" s="1" t="s">
        <v>24</v>
      </c>
      <c r="F2699" s="1" t="str">
        <f>IFERROR(__xludf.DUMMYFUNCTION("GOOGLETRANSLATE(E2699, ""zh-CN"", ""en"")"),"City area")</f>
        <v>City area</v>
      </c>
      <c r="G2699" s="1">
        <v>2.20601E11</v>
      </c>
    </row>
    <row r="2700">
      <c r="A2700" s="1" t="s">
        <v>2426</v>
      </c>
      <c r="B2700" s="1" t="str">
        <f>IFERROR(__xludf.DUMMYFUNCTION("GOOGLETRANSLATE(A2626, ""zh-CN"", ""en"")"),"Inner Mongolia Autonomous Region")</f>
        <v>Inner Mongolia Autonomous Region</v>
      </c>
      <c r="C2700" s="1" t="s">
        <v>2432</v>
      </c>
      <c r="D2700" s="1" t="str">
        <f>IFERROR(__xludf.DUMMYFUNCTION("GOOGLETRANSLATE(C2700, ""zh-CN"", ""en"")"),"Baishan City")</f>
        <v>Baishan City</v>
      </c>
      <c r="E2700" s="1" t="s">
        <v>2478</v>
      </c>
      <c r="F2700" s="1" t="str">
        <f>IFERROR(__xludf.DUMMYFUNCTION("GOOGLETRANSLATE(E2700, ""zh-CN"", ""en"")"),"Hunjiang District")</f>
        <v>Hunjiang District</v>
      </c>
      <c r="G2700" s="1">
        <v>2.20602E11</v>
      </c>
    </row>
    <row r="2701">
      <c r="A2701" s="1" t="s">
        <v>2426</v>
      </c>
      <c r="B2701" s="1" t="str">
        <f>IFERROR(__xludf.DUMMYFUNCTION("GOOGLETRANSLATE(A2627, ""zh-CN"", ""en"")"),"Inner Mongolia Autonomous Region")</f>
        <v>Inner Mongolia Autonomous Region</v>
      </c>
      <c r="C2701" s="1" t="s">
        <v>2432</v>
      </c>
      <c r="D2701" s="1" t="str">
        <f>IFERROR(__xludf.DUMMYFUNCTION("GOOGLETRANSLATE(C2701, ""zh-CN"", ""en"")"),"Baishan City")</f>
        <v>Baishan City</v>
      </c>
      <c r="E2701" s="1" t="s">
        <v>2479</v>
      </c>
      <c r="F2701" s="1" t="str">
        <f>IFERROR(__xludf.DUMMYFUNCTION("GOOGLETRANSLATE(E2701, ""zh-CN"", ""en"")"),"Jiangyuan District")</f>
        <v>Jiangyuan District</v>
      </c>
      <c r="G2701" s="1">
        <v>2.20605E11</v>
      </c>
    </row>
    <row r="2702">
      <c r="A2702" s="1" t="s">
        <v>2426</v>
      </c>
      <c r="B2702" s="1" t="str">
        <f>IFERROR(__xludf.DUMMYFUNCTION("GOOGLETRANSLATE(A2628, ""zh-CN"", ""en"")"),"Inner Mongolia Autonomous Region")</f>
        <v>Inner Mongolia Autonomous Region</v>
      </c>
      <c r="C2702" s="1" t="s">
        <v>2432</v>
      </c>
      <c r="D2702" s="1" t="str">
        <f>IFERROR(__xludf.DUMMYFUNCTION("GOOGLETRANSLATE(C2702, ""zh-CN"", ""en"")"),"Baishan City")</f>
        <v>Baishan City</v>
      </c>
      <c r="E2702" s="1" t="s">
        <v>2480</v>
      </c>
      <c r="F2702" s="1" t="str">
        <f>IFERROR(__xludf.DUMMYFUNCTION("GOOGLETRANSLATE(E2702, ""zh-CN"", ""en"")"),"Fusong County")</f>
        <v>Fusong County</v>
      </c>
      <c r="G2702" s="1">
        <v>2.20621E11</v>
      </c>
    </row>
    <row r="2703">
      <c r="A2703" s="1" t="s">
        <v>2426</v>
      </c>
      <c r="B2703" s="1" t="str">
        <f>IFERROR(__xludf.DUMMYFUNCTION("GOOGLETRANSLATE(A2629, ""zh-CN"", ""en"")"),"Inner Mongolia Autonomous Region")</f>
        <v>Inner Mongolia Autonomous Region</v>
      </c>
      <c r="C2703" s="1" t="s">
        <v>2432</v>
      </c>
      <c r="D2703" s="1" t="str">
        <f>IFERROR(__xludf.DUMMYFUNCTION("GOOGLETRANSLATE(C2703, ""zh-CN"", ""en"")"),"Baishan City")</f>
        <v>Baishan City</v>
      </c>
      <c r="E2703" s="1" t="s">
        <v>2481</v>
      </c>
      <c r="F2703" s="1" t="str">
        <f>IFERROR(__xludf.DUMMYFUNCTION("GOOGLETRANSLATE(E2703, ""zh-CN"", ""en"")"),"Jingyu County")</f>
        <v>Jingyu County</v>
      </c>
      <c r="G2703" s="1">
        <v>2.20622E11</v>
      </c>
    </row>
    <row r="2704">
      <c r="A2704" s="1" t="s">
        <v>2426</v>
      </c>
      <c r="B2704" s="1" t="str">
        <f>IFERROR(__xludf.DUMMYFUNCTION("GOOGLETRANSLATE(A2630, ""zh-CN"", ""en"")"),"Inner Mongolia Autonomous Region")</f>
        <v>Inner Mongolia Autonomous Region</v>
      </c>
      <c r="C2704" s="1" t="s">
        <v>2432</v>
      </c>
      <c r="D2704" s="1" t="str">
        <f>IFERROR(__xludf.DUMMYFUNCTION("GOOGLETRANSLATE(C2704, ""zh-CN"", ""en"")"),"Baishan City")</f>
        <v>Baishan City</v>
      </c>
      <c r="E2704" s="1" t="s">
        <v>2482</v>
      </c>
      <c r="F2704" s="1" t="str">
        <f>IFERROR(__xludf.DUMMYFUNCTION("GOOGLETRANSLATE(E2704, ""zh-CN"", ""en"")"),"Changbai Korean Autonomous County")</f>
        <v>Changbai Korean Autonomous County</v>
      </c>
      <c r="G2704" s="1">
        <v>2.20623E11</v>
      </c>
    </row>
    <row r="2705">
      <c r="A2705" s="1" t="s">
        <v>2426</v>
      </c>
      <c r="B2705" s="1" t="str">
        <f>IFERROR(__xludf.DUMMYFUNCTION("GOOGLETRANSLATE(A2631, ""zh-CN"", ""en"")"),"Inner Mongolia Autonomous Region")</f>
        <v>Inner Mongolia Autonomous Region</v>
      </c>
      <c r="C2705" s="1" t="s">
        <v>2432</v>
      </c>
      <c r="D2705" s="1" t="str">
        <f>IFERROR(__xludf.DUMMYFUNCTION("GOOGLETRANSLATE(C2705, ""zh-CN"", ""en"")"),"Baishan City")</f>
        <v>Baishan City</v>
      </c>
      <c r="E2705" s="1" t="s">
        <v>2483</v>
      </c>
      <c r="F2705" s="1" t="str">
        <f>IFERROR(__xludf.DUMMYFUNCTION("GOOGLETRANSLATE(E2705, ""zh-CN"", ""en"")"),"Linjiang City")</f>
        <v>Linjiang City</v>
      </c>
      <c r="G2705" s="1">
        <v>2.20681E11</v>
      </c>
    </row>
    <row r="2706">
      <c r="A2706" s="1" t="s">
        <v>2426</v>
      </c>
      <c r="B2706" s="1" t="str">
        <f>IFERROR(__xludf.DUMMYFUNCTION("GOOGLETRANSLATE(A2632, ""zh-CN"", ""en"")"),"Inner Mongolia Autonomous Region")</f>
        <v>Inner Mongolia Autonomous Region</v>
      </c>
      <c r="C2706" s="1" t="s">
        <v>2433</v>
      </c>
      <c r="D2706" s="1" t="str">
        <f>IFERROR(__xludf.DUMMYFUNCTION("GOOGLETRANSLATE(C2706, ""zh-CN"", ""en"")"),"Songyuan City")</f>
        <v>Songyuan City</v>
      </c>
      <c r="E2706" s="1" t="s">
        <v>24</v>
      </c>
      <c r="F2706" s="1" t="str">
        <f>IFERROR(__xludf.DUMMYFUNCTION("GOOGLETRANSLATE(E2706, ""zh-CN"", ""en"")"),"City area")</f>
        <v>City area</v>
      </c>
      <c r="G2706" s="1">
        <v>2.20701E11</v>
      </c>
    </row>
    <row r="2707">
      <c r="A2707" s="1" t="s">
        <v>2426</v>
      </c>
      <c r="B2707" s="1" t="str">
        <f>IFERROR(__xludf.DUMMYFUNCTION("GOOGLETRANSLATE(A2633, ""zh-CN"", ""en"")"),"Inner Mongolia Autonomous Region")</f>
        <v>Inner Mongolia Autonomous Region</v>
      </c>
      <c r="C2707" s="1" t="s">
        <v>2433</v>
      </c>
      <c r="D2707" s="1" t="str">
        <f>IFERROR(__xludf.DUMMYFUNCTION("GOOGLETRANSLATE(C2707, ""zh-CN"", ""en"")"),"Songyuan City")</f>
        <v>Songyuan City</v>
      </c>
      <c r="E2707" s="1" t="s">
        <v>2484</v>
      </c>
      <c r="F2707" s="1" t="str">
        <f>IFERROR(__xludf.DUMMYFUNCTION("GOOGLETRANSLATE(E2707, ""zh-CN"", ""en"")"),"Ningjiang District")</f>
        <v>Ningjiang District</v>
      </c>
      <c r="G2707" s="1">
        <v>2.20702E11</v>
      </c>
    </row>
    <row r="2708">
      <c r="A2708" s="1" t="s">
        <v>2426</v>
      </c>
      <c r="B2708" s="1" t="str">
        <f>IFERROR(__xludf.DUMMYFUNCTION("GOOGLETRANSLATE(A2634, ""zh-CN"", ""en"")"),"Inner Mongolia Autonomous Region")</f>
        <v>Inner Mongolia Autonomous Region</v>
      </c>
      <c r="C2708" s="1" t="s">
        <v>2433</v>
      </c>
      <c r="D2708" s="1" t="str">
        <f>IFERROR(__xludf.DUMMYFUNCTION("GOOGLETRANSLATE(C2708, ""zh-CN"", ""en"")"),"Songyuan City")</f>
        <v>Songyuan City</v>
      </c>
      <c r="E2708" s="1" t="s">
        <v>2485</v>
      </c>
      <c r="F2708" s="1" t="str">
        <f>IFERROR(__xludf.DUMMYFUNCTION("GOOGLETRANSLATE(E2708, ""zh-CN"", ""en"")"),"Former Guerros Mongolian Autonomous County")</f>
        <v>Former Guerros Mongolian Autonomous County</v>
      </c>
      <c r="G2708" s="1">
        <v>2.20721E11</v>
      </c>
    </row>
    <row r="2709">
      <c r="A2709" s="1" t="s">
        <v>2426</v>
      </c>
      <c r="B2709" s="1" t="str">
        <f>IFERROR(__xludf.DUMMYFUNCTION("GOOGLETRANSLATE(A2635, ""zh-CN"", ""en"")"),"Inner Mongolia Autonomous Region")</f>
        <v>Inner Mongolia Autonomous Region</v>
      </c>
      <c r="C2709" s="1" t="s">
        <v>2433</v>
      </c>
      <c r="D2709" s="1" t="str">
        <f>IFERROR(__xludf.DUMMYFUNCTION("GOOGLETRANSLATE(C2709, ""zh-CN"", ""en"")"),"Songyuan City")</f>
        <v>Songyuan City</v>
      </c>
      <c r="E2709" s="1" t="s">
        <v>2486</v>
      </c>
      <c r="F2709" s="1" t="str">
        <f>IFERROR(__xludf.DUMMYFUNCTION("GOOGLETRANSLATE(E2709, ""zh-CN"", ""en"")"),"Changling County")</f>
        <v>Changling County</v>
      </c>
      <c r="G2709" s="1">
        <v>2.20722E11</v>
      </c>
    </row>
    <row r="2710">
      <c r="A2710" s="1" t="s">
        <v>2426</v>
      </c>
      <c r="B2710" s="1" t="str">
        <f>IFERROR(__xludf.DUMMYFUNCTION("GOOGLETRANSLATE(A2636, ""zh-CN"", ""en"")"),"Inner Mongolia Autonomous Region")</f>
        <v>Inner Mongolia Autonomous Region</v>
      </c>
      <c r="C2710" s="1" t="s">
        <v>2433</v>
      </c>
      <c r="D2710" s="1" t="str">
        <f>IFERROR(__xludf.DUMMYFUNCTION("GOOGLETRANSLATE(C2710, ""zh-CN"", ""en"")"),"Songyuan City")</f>
        <v>Songyuan City</v>
      </c>
      <c r="E2710" s="1" t="s">
        <v>2487</v>
      </c>
      <c r="F2710" s="1" t="str">
        <f>IFERROR(__xludf.DUMMYFUNCTION("GOOGLETRANSLATE(E2710, ""zh-CN"", ""en"")"),"Qian'an County")</f>
        <v>Qian'an County</v>
      </c>
      <c r="G2710" s="1">
        <v>2.20723E11</v>
      </c>
    </row>
    <row r="2711">
      <c r="A2711" s="1" t="s">
        <v>2426</v>
      </c>
      <c r="B2711" s="1" t="str">
        <f>IFERROR(__xludf.DUMMYFUNCTION("GOOGLETRANSLATE(A2637, ""zh-CN"", ""en"")"),"Inner Mongolia Autonomous Region")</f>
        <v>Inner Mongolia Autonomous Region</v>
      </c>
      <c r="C2711" s="1" t="s">
        <v>2433</v>
      </c>
      <c r="D2711" s="1" t="str">
        <f>IFERROR(__xludf.DUMMYFUNCTION("GOOGLETRANSLATE(C2711, ""zh-CN"", ""en"")"),"Songyuan City")</f>
        <v>Songyuan City</v>
      </c>
      <c r="E2711" s="1" t="s">
        <v>2488</v>
      </c>
      <c r="F2711" s="1" t="str">
        <f>IFERROR(__xludf.DUMMYFUNCTION("GOOGLETRANSLATE(E2711, ""zh-CN"", ""en"")"),"Jilin Songyuan Economic Development Zone")</f>
        <v>Jilin Songyuan Economic Development Zone</v>
      </c>
      <c r="G2711" s="1">
        <v>2.20771E11</v>
      </c>
    </row>
    <row r="2712">
      <c r="A2712" s="1" t="s">
        <v>2426</v>
      </c>
      <c r="B2712" s="1" t="str">
        <f>IFERROR(__xludf.DUMMYFUNCTION("GOOGLETRANSLATE(A2638, ""zh-CN"", ""en"")"),"Inner Mongolia Autonomous Region")</f>
        <v>Inner Mongolia Autonomous Region</v>
      </c>
      <c r="C2712" s="1" t="s">
        <v>2433</v>
      </c>
      <c r="D2712" s="1" t="str">
        <f>IFERROR(__xludf.DUMMYFUNCTION("GOOGLETRANSLATE(C2712, ""zh-CN"", ""en"")"),"Songyuan City")</f>
        <v>Songyuan City</v>
      </c>
      <c r="E2712" s="1" t="s">
        <v>2489</v>
      </c>
      <c r="F2712" s="1" t="str">
        <f>IFERROR(__xludf.DUMMYFUNCTION("GOOGLETRANSLATE(E2712, ""zh-CN"", ""en"")"),"Fuyu City")</f>
        <v>Fuyu City</v>
      </c>
      <c r="G2712" s="1">
        <v>2.20781E11</v>
      </c>
    </row>
    <row r="2713">
      <c r="A2713" s="1" t="s">
        <v>2426</v>
      </c>
      <c r="B2713" s="1" t="str">
        <f>IFERROR(__xludf.DUMMYFUNCTION("GOOGLETRANSLATE(A2639, ""zh-CN"", ""en"")"),"Inner Mongolia Autonomous Region")</f>
        <v>Inner Mongolia Autonomous Region</v>
      </c>
      <c r="C2713" s="1" t="s">
        <v>2434</v>
      </c>
      <c r="D2713" s="1" t="str">
        <f>IFERROR(__xludf.DUMMYFUNCTION("GOOGLETRANSLATE(C2713, ""zh-CN"", ""en"")"),"White city")</f>
        <v>White city</v>
      </c>
      <c r="E2713" s="1" t="s">
        <v>24</v>
      </c>
      <c r="F2713" s="1" t="str">
        <f>IFERROR(__xludf.DUMMYFUNCTION("GOOGLETRANSLATE(E2713, ""zh-CN"", ""en"")"),"City area")</f>
        <v>City area</v>
      </c>
      <c r="G2713" s="1">
        <v>2.20801E11</v>
      </c>
    </row>
    <row r="2714">
      <c r="A2714" s="1" t="s">
        <v>2426</v>
      </c>
      <c r="B2714" s="1" t="str">
        <f>IFERROR(__xludf.DUMMYFUNCTION("GOOGLETRANSLATE(A2640, ""zh-CN"", ""en"")"),"Inner Mongolia Autonomous Region")</f>
        <v>Inner Mongolia Autonomous Region</v>
      </c>
      <c r="C2714" s="1" t="s">
        <v>2434</v>
      </c>
      <c r="D2714" s="1" t="str">
        <f>IFERROR(__xludf.DUMMYFUNCTION("GOOGLETRANSLATE(C2714, ""zh-CN"", ""en"")"),"White city")</f>
        <v>White city</v>
      </c>
      <c r="E2714" s="1" t="s">
        <v>2490</v>
      </c>
      <c r="F2714" s="1" t="str">
        <f>IFERROR(__xludf.DUMMYFUNCTION("GOOGLETRANSLATE(E2714, ""zh-CN"", ""en"")"),"Daibei District")</f>
        <v>Daibei District</v>
      </c>
      <c r="G2714" s="1">
        <v>2.20802E11</v>
      </c>
    </row>
    <row r="2715">
      <c r="A2715" s="1" t="s">
        <v>2426</v>
      </c>
      <c r="B2715" s="1" t="str">
        <f>IFERROR(__xludf.DUMMYFUNCTION("GOOGLETRANSLATE(A2641, ""zh-CN"", ""en"")"),"Jilin Province")</f>
        <v>Jilin Province</v>
      </c>
      <c r="C2715" s="1" t="s">
        <v>2434</v>
      </c>
      <c r="D2715" s="1" t="str">
        <f>IFERROR(__xludf.DUMMYFUNCTION("GOOGLETRANSLATE(C2715, ""zh-CN"", ""en"")"),"White city")</f>
        <v>White city</v>
      </c>
      <c r="E2715" s="1" t="s">
        <v>2491</v>
      </c>
      <c r="F2715" s="1" t="str">
        <f>IFERROR(__xludf.DUMMYFUNCTION("GOOGLETRANSLATE(E2715, ""zh-CN"", ""en"")"),"Zhenyi County")</f>
        <v>Zhenyi County</v>
      </c>
      <c r="G2715" s="1">
        <v>2.20821E11</v>
      </c>
    </row>
    <row r="2716">
      <c r="A2716" s="1" t="s">
        <v>2426</v>
      </c>
      <c r="B2716" s="1" t="str">
        <f>IFERROR(__xludf.DUMMYFUNCTION("GOOGLETRANSLATE(A2642, ""zh-CN"", ""en"")"),"Jilin Province")</f>
        <v>Jilin Province</v>
      </c>
      <c r="C2716" s="1" t="s">
        <v>2434</v>
      </c>
      <c r="D2716" s="1" t="str">
        <f>IFERROR(__xludf.DUMMYFUNCTION("GOOGLETRANSLATE(C2716, ""zh-CN"", ""en"")"),"White city")</f>
        <v>White city</v>
      </c>
      <c r="E2716" s="1" t="s">
        <v>2492</v>
      </c>
      <c r="F2716" s="1" t="str">
        <f>IFERROR(__xludf.DUMMYFUNCTION("GOOGLETRANSLATE(E2716, ""zh-CN"", ""en"")"),"Tongyu County")</f>
        <v>Tongyu County</v>
      </c>
      <c r="G2716" s="1">
        <v>2.20822E11</v>
      </c>
    </row>
    <row r="2717">
      <c r="A2717" s="1" t="s">
        <v>2426</v>
      </c>
      <c r="B2717" s="1" t="str">
        <f>IFERROR(__xludf.DUMMYFUNCTION("GOOGLETRANSLATE(A2643, ""zh-CN"", ""en"")"),"Jilin Province")</f>
        <v>Jilin Province</v>
      </c>
      <c r="C2717" s="1" t="s">
        <v>2434</v>
      </c>
      <c r="D2717" s="1" t="str">
        <f>IFERROR(__xludf.DUMMYFUNCTION("GOOGLETRANSLATE(C2717, ""zh-CN"", ""en"")"),"White city")</f>
        <v>White city</v>
      </c>
      <c r="E2717" s="1" t="s">
        <v>2493</v>
      </c>
      <c r="F2717" s="1" t="str">
        <f>IFERROR(__xludf.DUMMYFUNCTION("GOOGLETRANSLATE(E2717, ""zh-CN"", ""en"")"),"Jilin Baicheng Economic Development Zone")</f>
        <v>Jilin Baicheng Economic Development Zone</v>
      </c>
      <c r="G2717" s="1">
        <v>2.20871E11</v>
      </c>
    </row>
    <row r="2718">
      <c r="A2718" s="1" t="s">
        <v>2426</v>
      </c>
      <c r="B2718" s="1" t="str">
        <f>IFERROR(__xludf.DUMMYFUNCTION("GOOGLETRANSLATE(A2644, ""zh-CN"", ""en"")"),"Jilin Province")</f>
        <v>Jilin Province</v>
      </c>
      <c r="C2718" s="1" t="s">
        <v>2434</v>
      </c>
      <c r="D2718" s="1" t="str">
        <f>IFERROR(__xludf.DUMMYFUNCTION("GOOGLETRANSLATE(C2718, ""zh-CN"", ""en"")"),"White city")</f>
        <v>White city</v>
      </c>
      <c r="E2718" s="1" t="s">
        <v>2494</v>
      </c>
      <c r="F2718" s="1" t="str">
        <f>IFERROR(__xludf.DUMMYFUNCTION("GOOGLETRANSLATE(E2718, ""zh-CN"", ""en"")"),"Dannan City")</f>
        <v>Dannan City</v>
      </c>
      <c r="G2718" s="1">
        <v>2.20881E11</v>
      </c>
    </row>
    <row r="2719">
      <c r="A2719" s="1" t="s">
        <v>2426</v>
      </c>
      <c r="B2719" s="1" t="str">
        <f>IFERROR(__xludf.DUMMYFUNCTION("GOOGLETRANSLATE(A2645, ""zh-CN"", ""en"")"),"Jilin Province")</f>
        <v>Jilin Province</v>
      </c>
      <c r="C2719" s="1" t="s">
        <v>2434</v>
      </c>
      <c r="D2719" s="1" t="str">
        <f>IFERROR(__xludf.DUMMYFUNCTION("GOOGLETRANSLATE(C2719, ""zh-CN"", ""en"")"),"White city")</f>
        <v>White city</v>
      </c>
      <c r="E2719" s="1" t="s">
        <v>2495</v>
      </c>
      <c r="F2719" s="1" t="str">
        <f>IFERROR(__xludf.DUMMYFUNCTION("GOOGLETRANSLATE(E2719, ""zh-CN"", ""en"")"),"Daan City")</f>
        <v>Daan City</v>
      </c>
      <c r="G2719" s="1">
        <v>2.20882E11</v>
      </c>
    </row>
    <row r="2720">
      <c r="A2720" s="1" t="s">
        <v>2426</v>
      </c>
      <c r="B2720" s="1" t="str">
        <f>IFERROR(__xludf.DUMMYFUNCTION("GOOGLETRANSLATE(A2646, ""zh-CN"", ""en"")"),"Jilin Province")</f>
        <v>Jilin Province</v>
      </c>
      <c r="C2720" s="1" t="s">
        <v>2435</v>
      </c>
      <c r="D2720" s="1" t="str">
        <f>IFERROR(__xludf.DUMMYFUNCTION("GOOGLETRANSLATE(C2720, ""zh-CN"", ""en"")"),"Yanbian Korean Autonomous Prefecture")</f>
        <v>Yanbian Korean Autonomous Prefecture</v>
      </c>
      <c r="E2720" s="1" t="s">
        <v>2496</v>
      </c>
      <c r="F2720" s="1" t="str">
        <f>IFERROR(__xludf.DUMMYFUNCTION("GOOGLETRANSLATE(E2720, ""zh-CN"", ""en"")"),"Yanji City")</f>
        <v>Yanji City</v>
      </c>
      <c r="G2720" s="1">
        <v>2.22401E11</v>
      </c>
    </row>
    <row r="2721">
      <c r="A2721" s="1" t="s">
        <v>2426</v>
      </c>
      <c r="B2721" s="1" t="str">
        <f>IFERROR(__xludf.DUMMYFUNCTION("GOOGLETRANSLATE(A2647, ""zh-CN"", ""en"")"),"Jilin Province")</f>
        <v>Jilin Province</v>
      </c>
      <c r="C2721" s="1" t="s">
        <v>2435</v>
      </c>
      <c r="D2721" s="1" t="str">
        <f>IFERROR(__xludf.DUMMYFUNCTION("GOOGLETRANSLATE(C2721, ""zh-CN"", ""en"")"),"Yanbian Korean Autonomous Prefecture")</f>
        <v>Yanbian Korean Autonomous Prefecture</v>
      </c>
      <c r="E2721" s="1" t="s">
        <v>2497</v>
      </c>
      <c r="F2721" s="1" t="str">
        <f>IFERROR(__xludf.DUMMYFUNCTION("GOOGLETRANSLATE(E2721, ""zh-CN"", ""en"")"),"Chart city")</f>
        <v>Chart city</v>
      </c>
      <c r="G2721" s="1">
        <v>2.22402E11</v>
      </c>
    </row>
    <row r="2722">
      <c r="A2722" s="1" t="s">
        <v>2426</v>
      </c>
      <c r="B2722" s="1" t="str">
        <f>IFERROR(__xludf.DUMMYFUNCTION("GOOGLETRANSLATE(A2648, ""zh-CN"", ""en"")"),"Jilin Province")</f>
        <v>Jilin Province</v>
      </c>
      <c r="C2722" s="1" t="s">
        <v>2435</v>
      </c>
      <c r="D2722" s="1" t="str">
        <f>IFERROR(__xludf.DUMMYFUNCTION("GOOGLETRANSLATE(C2722, ""zh-CN"", ""en"")"),"Yanbian Korean Autonomous Prefecture")</f>
        <v>Yanbian Korean Autonomous Prefecture</v>
      </c>
      <c r="E2722" s="1" t="s">
        <v>2498</v>
      </c>
      <c r="F2722" s="1" t="str">
        <f>IFERROR(__xludf.DUMMYFUNCTION("GOOGLETRANSLATE(E2722, ""zh-CN"", ""en"")"),"Dunhua City")</f>
        <v>Dunhua City</v>
      </c>
      <c r="G2722" s="1">
        <v>2.22403E11</v>
      </c>
    </row>
    <row r="2723">
      <c r="A2723" s="1" t="s">
        <v>2426</v>
      </c>
      <c r="B2723" s="1" t="str">
        <f>IFERROR(__xludf.DUMMYFUNCTION("GOOGLETRANSLATE(A2649, ""zh-CN"", ""en"")"),"Jilin Province")</f>
        <v>Jilin Province</v>
      </c>
      <c r="C2723" s="1" t="s">
        <v>2435</v>
      </c>
      <c r="D2723" s="1" t="str">
        <f>IFERROR(__xludf.DUMMYFUNCTION("GOOGLETRANSLATE(C2723, ""zh-CN"", ""en"")"),"Yanbian Korean Autonomous Prefecture")</f>
        <v>Yanbian Korean Autonomous Prefecture</v>
      </c>
      <c r="E2723" s="1" t="s">
        <v>2499</v>
      </c>
      <c r="F2723" s="1" t="str">
        <f>IFERROR(__xludf.DUMMYFUNCTION("GOOGLETRANSLATE(E2723, ""zh-CN"", ""en"")"),"Xunchun City")</f>
        <v>Xunchun City</v>
      </c>
      <c r="G2723" s="1">
        <v>2.22404E11</v>
      </c>
    </row>
    <row r="2724">
      <c r="A2724" s="1" t="s">
        <v>2426</v>
      </c>
      <c r="B2724" s="1" t="str">
        <f>IFERROR(__xludf.DUMMYFUNCTION("GOOGLETRANSLATE(A2650, ""zh-CN"", ""en"")"),"Jilin Province")</f>
        <v>Jilin Province</v>
      </c>
      <c r="C2724" s="1" t="s">
        <v>2435</v>
      </c>
      <c r="D2724" s="1" t="str">
        <f>IFERROR(__xludf.DUMMYFUNCTION("GOOGLETRANSLATE(C2724, ""zh-CN"", ""en"")"),"Yanbian Korean Autonomous Prefecture")</f>
        <v>Yanbian Korean Autonomous Prefecture</v>
      </c>
      <c r="E2724" s="1" t="s">
        <v>2500</v>
      </c>
      <c r="F2724" s="1" t="str">
        <f>IFERROR(__xludf.DUMMYFUNCTION("GOOGLETRANSLATE(E2724, ""zh-CN"", ""en"")"),"Longjing City")</f>
        <v>Longjing City</v>
      </c>
      <c r="G2724" s="1">
        <v>2.22405E11</v>
      </c>
    </row>
    <row r="2725">
      <c r="A2725" s="1" t="s">
        <v>2426</v>
      </c>
      <c r="B2725" s="1" t="str">
        <f>IFERROR(__xludf.DUMMYFUNCTION("GOOGLETRANSLATE(A2651, ""zh-CN"", ""en"")"),"Jilin Province")</f>
        <v>Jilin Province</v>
      </c>
      <c r="C2725" s="1" t="s">
        <v>2435</v>
      </c>
      <c r="D2725" s="1" t="str">
        <f>IFERROR(__xludf.DUMMYFUNCTION("GOOGLETRANSLATE(C2725, ""zh-CN"", ""en"")"),"Yanbian Korean Autonomous Prefecture")</f>
        <v>Yanbian Korean Autonomous Prefecture</v>
      </c>
      <c r="E2725" s="1" t="s">
        <v>2501</v>
      </c>
      <c r="F2725" s="1" t="str">
        <f>IFERROR(__xludf.DUMMYFUNCTION("GOOGLETRANSLATE(E2725, ""zh-CN"", ""en"")"),"Helong City")</f>
        <v>Helong City</v>
      </c>
      <c r="G2725" s="1">
        <v>2.22406E11</v>
      </c>
    </row>
    <row r="2726">
      <c r="A2726" s="1" t="s">
        <v>2426</v>
      </c>
      <c r="B2726" s="1" t="str">
        <f>IFERROR(__xludf.DUMMYFUNCTION("GOOGLETRANSLATE(A2652, ""zh-CN"", ""en"")"),"Jilin Province")</f>
        <v>Jilin Province</v>
      </c>
      <c r="C2726" s="1" t="s">
        <v>2435</v>
      </c>
      <c r="D2726" s="1" t="str">
        <f>IFERROR(__xludf.DUMMYFUNCTION("GOOGLETRANSLATE(C2726, ""zh-CN"", ""en"")"),"Yanbian Korean Autonomous Prefecture")</f>
        <v>Yanbian Korean Autonomous Prefecture</v>
      </c>
      <c r="E2726" s="1" t="s">
        <v>2502</v>
      </c>
      <c r="F2726" s="1" t="str">
        <f>IFERROR(__xludf.DUMMYFUNCTION("GOOGLETRANSLATE(E2726, ""zh-CN"", ""en"")"),"Wang Qing County")</f>
        <v>Wang Qing County</v>
      </c>
      <c r="G2726" s="1">
        <v>2.22424E11</v>
      </c>
    </row>
    <row r="2727">
      <c r="A2727" s="1" t="s">
        <v>2426</v>
      </c>
      <c r="B2727" s="1" t="str">
        <f>IFERROR(__xludf.DUMMYFUNCTION("GOOGLETRANSLATE(A2653, ""zh-CN"", ""en"")"),"Jilin Province")</f>
        <v>Jilin Province</v>
      </c>
      <c r="C2727" s="1" t="s">
        <v>2435</v>
      </c>
      <c r="D2727" s="1" t="str">
        <f>IFERROR(__xludf.DUMMYFUNCTION("GOOGLETRANSLATE(C2727, ""zh-CN"", ""en"")"),"Yanbian Korean Autonomous Prefecture")</f>
        <v>Yanbian Korean Autonomous Prefecture</v>
      </c>
      <c r="E2727" s="1" t="s">
        <v>2503</v>
      </c>
      <c r="F2727" s="1" t="str">
        <f>IFERROR(__xludf.DUMMYFUNCTION("GOOGLETRANSLATE(E2727, ""zh-CN"", ""en"")"),"Antu County")</f>
        <v>Antu County</v>
      </c>
      <c r="G2727" s="1">
        <v>2.22426E11</v>
      </c>
    </row>
    <row r="2728">
      <c r="A2728" s="1" t="s">
        <v>2504</v>
      </c>
      <c r="B2728" s="1" t="str">
        <f>IFERROR(__xludf.DUMMYFUNCTION("GOOGLETRANSLATE(A2654, ""zh-CN"", ""en"")"),"Jilin Province")</f>
        <v>Jilin Province</v>
      </c>
      <c r="C2728" s="1" t="s">
        <v>8</v>
      </c>
      <c r="D2728" s="1" t="str">
        <f>IFERROR(__xludf.DUMMYFUNCTION("GOOGLETRANSLATE(C2728, ""zh-CN"", ""en"")"),"Na")</f>
        <v>Na</v>
      </c>
      <c r="E2728" s="1" t="s">
        <v>8</v>
      </c>
      <c r="F2728" s="1" t="str">
        <f>IFERROR(__xludf.DUMMYFUNCTION("GOOGLETRANSLATE(E2728, ""zh-CN"", ""en"")"),"Na")</f>
        <v>Na</v>
      </c>
      <c r="G2728" s="1">
        <v>53.0</v>
      </c>
    </row>
    <row r="2729">
      <c r="A2729" s="1" t="s">
        <v>2504</v>
      </c>
      <c r="B2729" s="1" t="str">
        <f>IFERROR(__xludf.DUMMYFUNCTION("GOOGLETRANSLATE(A2655, ""zh-CN"", ""en"")"),"Jilin Province")</f>
        <v>Jilin Province</v>
      </c>
      <c r="C2729" s="1" t="s">
        <v>2505</v>
      </c>
      <c r="D2729" s="1" t="str">
        <f>IFERROR(__xludf.DUMMYFUNCTION("GOOGLETRANSLATE(C2729, ""zh-CN"", ""en"")"),"Kunming")</f>
        <v>Kunming</v>
      </c>
      <c r="E2729" s="1" t="s">
        <v>8</v>
      </c>
      <c r="F2729" s="1" t="str">
        <f>IFERROR(__xludf.DUMMYFUNCTION("GOOGLETRANSLATE(E2729, ""zh-CN"", ""en"")"),"Na")</f>
        <v>Na</v>
      </c>
      <c r="G2729" s="1">
        <v>5.301E11</v>
      </c>
    </row>
    <row r="2730">
      <c r="A2730" s="1" t="s">
        <v>2504</v>
      </c>
      <c r="B2730" s="1" t="str">
        <f>IFERROR(__xludf.DUMMYFUNCTION("GOOGLETRANSLATE(A2656, ""zh-CN"", ""en"")"),"Jilin Province")</f>
        <v>Jilin Province</v>
      </c>
      <c r="C2730" s="1" t="s">
        <v>2506</v>
      </c>
      <c r="D2730" s="1" t="str">
        <f>IFERROR(__xludf.DUMMYFUNCTION("GOOGLETRANSLATE(C2730, ""zh-CN"", ""en"")"),"Qujing City")</f>
        <v>Qujing City</v>
      </c>
      <c r="E2730" s="1" t="s">
        <v>8</v>
      </c>
      <c r="F2730" s="1" t="str">
        <f>IFERROR(__xludf.DUMMYFUNCTION("GOOGLETRANSLATE(E2730, ""zh-CN"", ""en"")"),"Na")</f>
        <v>Na</v>
      </c>
      <c r="G2730" s="1">
        <v>5.303E11</v>
      </c>
    </row>
    <row r="2731">
      <c r="A2731" s="1" t="s">
        <v>2504</v>
      </c>
      <c r="B2731" s="1" t="str">
        <f>IFERROR(__xludf.DUMMYFUNCTION("GOOGLETRANSLATE(A2657, ""zh-CN"", ""en"")"),"Jilin Province")</f>
        <v>Jilin Province</v>
      </c>
      <c r="C2731" s="1" t="s">
        <v>2507</v>
      </c>
      <c r="D2731" s="1" t="str">
        <f>IFERROR(__xludf.DUMMYFUNCTION("GOOGLETRANSLATE(C2731, ""zh-CN"", ""en"")"),"Yuxi City")</f>
        <v>Yuxi City</v>
      </c>
      <c r="E2731" s="1" t="s">
        <v>8</v>
      </c>
      <c r="F2731" s="1" t="str">
        <f>IFERROR(__xludf.DUMMYFUNCTION("GOOGLETRANSLATE(E2731, ""zh-CN"", ""en"")"),"Na")</f>
        <v>Na</v>
      </c>
      <c r="G2731" s="1">
        <v>5.304E11</v>
      </c>
    </row>
    <row r="2732">
      <c r="A2732" s="1" t="s">
        <v>2504</v>
      </c>
      <c r="B2732" s="1" t="str">
        <f>IFERROR(__xludf.DUMMYFUNCTION("GOOGLETRANSLATE(A2658, ""zh-CN"", ""en"")"),"Jilin Province")</f>
        <v>Jilin Province</v>
      </c>
      <c r="C2732" s="1" t="s">
        <v>2508</v>
      </c>
      <c r="D2732" s="1" t="str">
        <f>IFERROR(__xludf.DUMMYFUNCTION("GOOGLETRANSLATE(C2732, ""zh-CN"", ""en"")"),"Baoshan City")</f>
        <v>Baoshan City</v>
      </c>
      <c r="E2732" s="1" t="s">
        <v>8</v>
      </c>
      <c r="F2732" s="1" t="str">
        <f>IFERROR(__xludf.DUMMYFUNCTION("GOOGLETRANSLATE(E2732, ""zh-CN"", ""en"")"),"Na")</f>
        <v>Na</v>
      </c>
      <c r="G2732" s="1">
        <v>5.305E11</v>
      </c>
    </row>
    <row r="2733">
      <c r="A2733" s="1" t="s">
        <v>2504</v>
      </c>
      <c r="B2733" s="1" t="str">
        <f>IFERROR(__xludf.DUMMYFUNCTION("GOOGLETRANSLATE(A2659, ""zh-CN"", ""en"")"),"Jilin Province")</f>
        <v>Jilin Province</v>
      </c>
      <c r="C2733" s="1" t="s">
        <v>2509</v>
      </c>
      <c r="D2733" s="1" t="str">
        <f>IFERROR(__xludf.DUMMYFUNCTION("GOOGLETRANSLATE(C2733, ""zh-CN"", ""en"")"),"Zhaotong City")</f>
        <v>Zhaotong City</v>
      </c>
      <c r="E2733" s="1" t="s">
        <v>8</v>
      </c>
      <c r="F2733" s="1" t="str">
        <f>IFERROR(__xludf.DUMMYFUNCTION("GOOGLETRANSLATE(E2733, ""zh-CN"", ""en"")"),"Na")</f>
        <v>Na</v>
      </c>
      <c r="G2733" s="1">
        <v>5.306E11</v>
      </c>
    </row>
    <row r="2734">
      <c r="A2734" s="1" t="s">
        <v>2504</v>
      </c>
      <c r="B2734" s="1" t="str">
        <f>IFERROR(__xludf.DUMMYFUNCTION("GOOGLETRANSLATE(A2660, ""zh-CN"", ""en"")"),"Jilin Province")</f>
        <v>Jilin Province</v>
      </c>
      <c r="C2734" s="1" t="s">
        <v>2510</v>
      </c>
      <c r="D2734" s="1" t="str">
        <f>IFERROR(__xludf.DUMMYFUNCTION("GOOGLETRANSLATE(C2734, ""zh-CN"", ""en"")"),"Lijiang City")</f>
        <v>Lijiang City</v>
      </c>
      <c r="E2734" s="1" t="s">
        <v>8</v>
      </c>
      <c r="F2734" s="1" t="str">
        <f>IFERROR(__xludf.DUMMYFUNCTION("GOOGLETRANSLATE(E2734, ""zh-CN"", ""en"")"),"Na")</f>
        <v>Na</v>
      </c>
      <c r="G2734" s="1">
        <v>5.307E11</v>
      </c>
    </row>
    <row r="2735">
      <c r="A2735" s="1" t="s">
        <v>2504</v>
      </c>
      <c r="B2735" s="1" t="str">
        <f>IFERROR(__xludf.DUMMYFUNCTION("GOOGLETRANSLATE(A2661, ""zh-CN"", ""en"")"),"Jilin Province")</f>
        <v>Jilin Province</v>
      </c>
      <c r="C2735" s="1" t="s">
        <v>2511</v>
      </c>
      <c r="D2735" s="1" t="str">
        <f>IFERROR(__xludf.DUMMYFUNCTION("GOOGLETRANSLATE(C2735, ""zh-CN"", ""en"")"),"Pu'er City")</f>
        <v>Pu'er City</v>
      </c>
      <c r="E2735" s="1" t="s">
        <v>8</v>
      </c>
      <c r="F2735" s="1" t="str">
        <f>IFERROR(__xludf.DUMMYFUNCTION("GOOGLETRANSLATE(E2735, ""zh-CN"", ""en"")"),"Na")</f>
        <v>Na</v>
      </c>
      <c r="G2735" s="1">
        <v>5.308E11</v>
      </c>
    </row>
    <row r="2736">
      <c r="A2736" s="1" t="s">
        <v>2504</v>
      </c>
      <c r="B2736" s="1" t="str">
        <f>IFERROR(__xludf.DUMMYFUNCTION("GOOGLETRANSLATE(A2662, ""zh-CN"", ""en"")"),"Jilin Province")</f>
        <v>Jilin Province</v>
      </c>
      <c r="C2736" s="1" t="s">
        <v>2512</v>
      </c>
      <c r="D2736" s="1" t="str">
        <f>IFERROR(__xludf.DUMMYFUNCTION("GOOGLETRANSLATE(C2736, ""zh-CN"", ""en"")"),"Lincang City")</f>
        <v>Lincang City</v>
      </c>
      <c r="E2736" s="1" t="s">
        <v>8</v>
      </c>
      <c r="F2736" s="1" t="str">
        <f>IFERROR(__xludf.DUMMYFUNCTION("GOOGLETRANSLATE(E2736, ""zh-CN"", ""en"")"),"Na")</f>
        <v>Na</v>
      </c>
      <c r="G2736" s="1">
        <v>5.309E11</v>
      </c>
    </row>
    <row r="2737">
      <c r="A2737" s="1" t="s">
        <v>2504</v>
      </c>
      <c r="B2737" s="1" t="str">
        <f>IFERROR(__xludf.DUMMYFUNCTION("GOOGLETRANSLATE(A2663, ""zh-CN"", ""en"")"),"Jilin Province")</f>
        <v>Jilin Province</v>
      </c>
      <c r="C2737" s="1" t="s">
        <v>2513</v>
      </c>
      <c r="D2737" s="1" t="str">
        <f>IFERROR(__xludf.DUMMYFUNCTION("GOOGLETRANSLATE(C2737, ""zh-CN"", ""en"")"),"Chuxiong Yi Autonomous Prefecture")</f>
        <v>Chuxiong Yi Autonomous Prefecture</v>
      </c>
      <c r="E2737" s="1" t="s">
        <v>8</v>
      </c>
      <c r="F2737" s="1" t="str">
        <f>IFERROR(__xludf.DUMMYFUNCTION("GOOGLETRANSLATE(E2737, ""zh-CN"", ""en"")"),"Na")</f>
        <v>Na</v>
      </c>
      <c r="G2737" s="1">
        <v>5.323E11</v>
      </c>
    </row>
    <row r="2738">
      <c r="A2738" s="1" t="s">
        <v>2504</v>
      </c>
      <c r="B2738" s="1" t="str">
        <f>IFERROR(__xludf.DUMMYFUNCTION("GOOGLETRANSLATE(A2664, ""zh-CN"", ""en"")"),"Jilin Province")</f>
        <v>Jilin Province</v>
      </c>
      <c r="C2738" s="1" t="s">
        <v>2514</v>
      </c>
      <c r="D2738" s="1" t="str">
        <f>IFERROR(__xludf.DUMMYFUNCTION("GOOGLETRANSLATE(C2738, ""zh-CN"", ""en"")"),"Honghehani Hani Yi Autonomous Prefecture")</f>
        <v>Honghehani Hani Yi Autonomous Prefecture</v>
      </c>
      <c r="E2738" s="1" t="s">
        <v>8</v>
      </c>
      <c r="F2738" s="1" t="str">
        <f>IFERROR(__xludf.DUMMYFUNCTION("GOOGLETRANSLATE(E2738, ""zh-CN"", ""en"")"),"Na")</f>
        <v>Na</v>
      </c>
      <c r="G2738" s="1">
        <v>5.325E11</v>
      </c>
    </row>
    <row r="2739">
      <c r="A2739" s="1" t="s">
        <v>2504</v>
      </c>
      <c r="B2739" s="1" t="str">
        <f>IFERROR(__xludf.DUMMYFUNCTION("GOOGLETRANSLATE(A2665, ""zh-CN"", ""en"")"),"Jilin Province")</f>
        <v>Jilin Province</v>
      </c>
      <c r="C2739" s="1" t="s">
        <v>2515</v>
      </c>
      <c r="D2739" s="1" t="str">
        <f>IFERROR(__xludf.DUMMYFUNCTION("GOOGLETRANSLATE(C2739, ""zh-CN"", ""en"")"),"Wenshan Zhuang Miao Autonomous Prefecture")</f>
        <v>Wenshan Zhuang Miao Autonomous Prefecture</v>
      </c>
      <c r="E2739" s="1" t="s">
        <v>8</v>
      </c>
      <c r="F2739" s="1" t="str">
        <f>IFERROR(__xludf.DUMMYFUNCTION("GOOGLETRANSLATE(E2739, ""zh-CN"", ""en"")"),"Na")</f>
        <v>Na</v>
      </c>
      <c r="G2739" s="1">
        <v>5.326E11</v>
      </c>
    </row>
    <row r="2740">
      <c r="A2740" s="1" t="s">
        <v>2504</v>
      </c>
      <c r="B2740" s="1" t="str">
        <f>IFERROR(__xludf.DUMMYFUNCTION("GOOGLETRANSLATE(A2666, ""zh-CN"", ""en"")"),"Jilin Province")</f>
        <v>Jilin Province</v>
      </c>
      <c r="C2740" s="1" t="s">
        <v>2516</v>
      </c>
      <c r="D2740" s="1" t="str">
        <f>IFERROR(__xludf.DUMMYFUNCTION("GOOGLETRANSLATE(C2740, ""zh-CN"", ""en"")"),"Xishuangbanna Dai Autonomous Prefecture")</f>
        <v>Xishuangbanna Dai Autonomous Prefecture</v>
      </c>
      <c r="E2740" s="1" t="s">
        <v>8</v>
      </c>
      <c r="F2740" s="1" t="str">
        <f>IFERROR(__xludf.DUMMYFUNCTION("GOOGLETRANSLATE(E2740, ""zh-CN"", ""en"")"),"Na")</f>
        <v>Na</v>
      </c>
      <c r="G2740" s="1">
        <v>5.328E11</v>
      </c>
    </row>
    <row r="2741">
      <c r="A2741" s="1" t="s">
        <v>2504</v>
      </c>
      <c r="B2741" s="1" t="str">
        <f>IFERROR(__xludf.DUMMYFUNCTION("GOOGLETRANSLATE(A2667, ""zh-CN"", ""en"")"),"Jilin Province")</f>
        <v>Jilin Province</v>
      </c>
      <c r="C2741" s="1" t="s">
        <v>2517</v>
      </c>
      <c r="D2741" s="1" t="str">
        <f>IFERROR(__xludf.DUMMYFUNCTION("GOOGLETRANSLATE(C2741, ""zh-CN"", ""en"")"),"Dali Bai Autonomous Prefecture")</f>
        <v>Dali Bai Autonomous Prefecture</v>
      </c>
      <c r="E2741" s="1" t="s">
        <v>8</v>
      </c>
      <c r="F2741" s="1" t="str">
        <f>IFERROR(__xludf.DUMMYFUNCTION("GOOGLETRANSLATE(E2741, ""zh-CN"", ""en"")"),"Na")</f>
        <v>Na</v>
      </c>
      <c r="G2741" s="1">
        <v>5.329E11</v>
      </c>
    </row>
    <row r="2742">
      <c r="A2742" s="1" t="s">
        <v>2504</v>
      </c>
      <c r="B2742" s="1" t="str">
        <f>IFERROR(__xludf.DUMMYFUNCTION("GOOGLETRANSLATE(A2668, ""zh-CN"", ""en"")"),"Jilin Province")</f>
        <v>Jilin Province</v>
      </c>
      <c r="C2742" s="1" t="s">
        <v>2518</v>
      </c>
      <c r="D2742" s="1" t="str">
        <f>IFERROR(__xludf.DUMMYFUNCTION("GOOGLETRANSLATE(C2742, ""zh-CN"", ""en"")"),"Dehong Dai Jingpo Autonomous Prefecture")</f>
        <v>Dehong Dai Jingpo Autonomous Prefecture</v>
      </c>
      <c r="E2742" s="1" t="s">
        <v>8</v>
      </c>
      <c r="F2742" s="1" t="str">
        <f>IFERROR(__xludf.DUMMYFUNCTION("GOOGLETRANSLATE(E2742, ""zh-CN"", ""en"")"),"Na")</f>
        <v>Na</v>
      </c>
      <c r="G2742" s="1">
        <v>5.331E11</v>
      </c>
    </row>
    <row r="2743">
      <c r="A2743" s="1" t="s">
        <v>2504</v>
      </c>
      <c r="B2743" s="1" t="str">
        <f>IFERROR(__xludf.DUMMYFUNCTION("GOOGLETRANSLATE(A2669, ""zh-CN"", ""en"")"),"Jilin Province")</f>
        <v>Jilin Province</v>
      </c>
      <c r="C2743" s="1" t="s">
        <v>2519</v>
      </c>
      <c r="D2743" s="1" t="str">
        <f>IFERROR(__xludf.DUMMYFUNCTION("GOOGLETRANSLATE(C2743, ""zh-CN"", ""en"")"),"Nujiang Ling Autonomous Prefecture")</f>
        <v>Nujiang Ling Autonomous Prefecture</v>
      </c>
      <c r="E2743" s="1" t="s">
        <v>8</v>
      </c>
      <c r="F2743" s="1" t="str">
        <f>IFERROR(__xludf.DUMMYFUNCTION("GOOGLETRANSLATE(E2743, ""zh-CN"", ""en"")"),"Na")</f>
        <v>Na</v>
      </c>
      <c r="G2743" s="1">
        <v>5.333E11</v>
      </c>
    </row>
    <row r="2744">
      <c r="A2744" s="1" t="s">
        <v>2504</v>
      </c>
      <c r="B2744" s="1" t="str">
        <f>IFERROR(__xludf.DUMMYFUNCTION("GOOGLETRANSLATE(A2670, ""zh-CN"", ""en"")"),"Jilin Province")</f>
        <v>Jilin Province</v>
      </c>
      <c r="C2744" s="1" t="s">
        <v>2520</v>
      </c>
      <c r="D2744" s="1" t="str">
        <f>IFERROR(__xludf.DUMMYFUNCTION("GOOGLETRANSLATE(C2744, ""zh-CN"", ""en"")"),"Diqing Tibetan Autonomous Prefecture")</f>
        <v>Diqing Tibetan Autonomous Prefecture</v>
      </c>
      <c r="E2744" s="1" t="s">
        <v>8</v>
      </c>
      <c r="F2744" s="1" t="str">
        <f>IFERROR(__xludf.DUMMYFUNCTION("GOOGLETRANSLATE(E2744, ""zh-CN"", ""en"")"),"Na")</f>
        <v>Na</v>
      </c>
      <c r="G2744" s="1">
        <v>5.334E11</v>
      </c>
    </row>
    <row r="2745">
      <c r="A2745" s="1" t="s">
        <v>2504</v>
      </c>
      <c r="B2745" s="1" t="str">
        <f>IFERROR(__xludf.DUMMYFUNCTION("GOOGLETRANSLATE(A2671, ""zh-CN"", ""en"")"),"Jilin Province")</f>
        <v>Jilin Province</v>
      </c>
      <c r="C2745" s="1" t="s">
        <v>2505</v>
      </c>
      <c r="D2745" s="1" t="str">
        <f>IFERROR(__xludf.DUMMYFUNCTION("GOOGLETRANSLATE(C2745, ""zh-CN"", ""en"")"),"Kunming")</f>
        <v>Kunming</v>
      </c>
      <c r="E2745" s="1" t="s">
        <v>24</v>
      </c>
      <c r="F2745" s="1" t="str">
        <f>IFERROR(__xludf.DUMMYFUNCTION("GOOGLETRANSLATE(E2745, ""zh-CN"", ""en"")"),"City area")</f>
        <v>City area</v>
      </c>
      <c r="G2745" s="1">
        <v>5.30101E11</v>
      </c>
    </row>
    <row r="2746">
      <c r="A2746" s="1" t="s">
        <v>2504</v>
      </c>
      <c r="B2746" s="1" t="str">
        <f>IFERROR(__xludf.DUMMYFUNCTION("GOOGLETRANSLATE(A2672, ""zh-CN"", ""en"")"),"Jilin Province")</f>
        <v>Jilin Province</v>
      </c>
      <c r="C2746" s="1" t="s">
        <v>2505</v>
      </c>
      <c r="D2746" s="1" t="str">
        <f>IFERROR(__xludf.DUMMYFUNCTION("GOOGLETRANSLATE(C2746, ""zh-CN"", ""en"")"),"Kunming")</f>
        <v>Kunming</v>
      </c>
      <c r="E2746" s="1" t="s">
        <v>2521</v>
      </c>
      <c r="F2746" s="1" t="str">
        <f>IFERROR(__xludf.DUMMYFUNCTION("GOOGLETRANSLATE(E2746, ""zh-CN"", ""en"")"),"Wuhua District")</f>
        <v>Wuhua District</v>
      </c>
      <c r="G2746" s="1">
        <v>5.30102E11</v>
      </c>
    </row>
    <row r="2747">
      <c r="A2747" s="1" t="s">
        <v>2504</v>
      </c>
      <c r="B2747" s="1" t="str">
        <f>IFERROR(__xludf.DUMMYFUNCTION("GOOGLETRANSLATE(A2673, ""zh-CN"", ""en"")"),"Jilin Province")</f>
        <v>Jilin Province</v>
      </c>
      <c r="C2747" s="1" t="s">
        <v>2505</v>
      </c>
      <c r="D2747" s="1" t="str">
        <f>IFERROR(__xludf.DUMMYFUNCTION("GOOGLETRANSLATE(C2747, ""zh-CN"", ""en"")"),"Kunming")</f>
        <v>Kunming</v>
      </c>
      <c r="E2747" s="1" t="s">
        <v>2522</v>
      </c>
      <c r="F2747" s="1" t="str">
        <f>IFERROR(__xludf.DUMMYFUNCTION("GOOGLETRANSLATE(E2747, ""zh-CN"", ""en"")"),"Panlong District")</f>
        <v>Panlong District</v>
      </c>
      <c r="G2747" s="1">
        <v>5.30103E11</v>
      </c>
    </row>
    <row r="2748">
      <c r="A2748" s="1" t="s">
        <v>2504</v>
      </c>
      <c r="B2748" s="1" t="str">
        <f>IFERROR(__xludf.DUMMYFUNCTION("GOOGLETRANSLATE(A2674, ""zh-CN"", ""en"")"),"Jilin Province")</f>
        <v>Jilin Province</v>
      </c>
      <c r="C2748" s="1" t="s">
        <v>2505</v>
      </c>
      <c r="D2748" s="1" t="str">
        <f>IFERROR(__xludf.DUMMYFUNCTION("GOOGLETRANSLATE(C2748, ""zh-CN"", ""en"")"),"Kunming")</f>
        <v>Kunming</v>
      </c>
      <c r="E2748" s="1" t="s">
        <v>2523</v>
      </c>
      <c r="F2748" s="1" t="str">
        <f>IFERROR(__xludf.DUMMYFUNCTION("GOOGLETRANSLATE(E2748, ""zh-CN"", ""en"")"),"Guandu District")</f>
        <v>Guandu District</v>
      </c>
      <c r="G2748" s="1">
        <v>5.30111E11</v>
      </c>
    </row>
    <row r="2749">
      <c r="A2749" s="1" t="s">
        <v>2504</v>
      </c>
      <c r="B2749" s="1" t="str">
        <f>IFERROR(__xludf.DUMMYFUNCTION("GOOGLETRANSLATE(A2675, ""zh-CN"", ""en"")"),"Jilin Province")</f>
        <v>Jilin Province</v>
      </c>
      <c r="C2749" s="1" t="s">
        <v>2505</v>
      </c>
      <c r="D2749" s="1" t="str">
        <f>IFERROR(__xludf.DUMMYFUNCTION("GOOGLETRANSLATE(C2749, ""zh-CN"", ""en"")"),"Kunming")</f>
        <v>Kunming</v>
      </c>
      <c r="E2749" s="1" t="s">
        <v>2524</v>
      </c>
      <c r="F2749" s="1" t="str">
        <f>IFERROR(__xludf.DUMMYFUNCTION("GOOGLETRANSLATE(E2749, ""zh-CN"", ""en"")"),"Xishan District")</f>
        <v>Xishan District</v>
      </c>
      <c r="G2749" s="1">
        <v>5.30112E11</v>
      </c>
    </row>
    <row r="2750">
      <c r="A2750" s="1" t="s">
        <v>2504</v>
      </c>
      <c r="B2750" s="1" t="str">
        <f>IFERROR(__xludf.DUMMYFUNCTION("GOOGLETRANSLATE(A2676, ""zh-CN"", ""en"")"),"Jilin Province")</f>
        <v>Jilin Province</v>
      </c>
      <c r="C2750" s="1" t="s">
        <v>2505</v>
      </c>
      <c r="D2750" s="1" t="str">
        <f>IFERROR(__xludf.DUMMYFUNCTION("GOOGLETRANSLATE(C2750, ""zh-CN"", ""en"")"),"Kunming")</f>
        <v>Kunming</v>
      </c>
      <c r="E2750" s="1" t="s">
        <v>2525</v>
      </c>
      <c r="F2750" s="1" t="str">
        <f>IFERROR(__xludf.DUMMYFUNCTION("GOOGLETRANSLATE(E2750, ""zh-CN"", ""en"")"),"Dongchuan District")</f>
        <v>Dongchuan District</v>
      </c>
      <c r="G2750" s="1">
        <v>5.30113E11</v>
      </c>
    </row>
    <row r="2751">
      <c r="A2751" s="1" t="s">
        <v>2504</v>
      </c>
      <c r="B2751" s="1" t="str">
        <f>IFERROR(__xludf.DUMMYFUNCTION("GOOGLETRANSLATE(A2677, ""zh-CN"", ""en"")"),"Jilin Province")</f>
        <v>Jilin Province</v>
      </c>
      <c r="C2751" s="1" t="s">
        <v>2505</v>
      </c>
      <c r="D2751" s="1" t="str">
        <f>IFERROR(__xludf.DUMMYFUNCTION("GOOGLETRANSLATE(C2751, ""zh-CN"", ""en"")"),"Kunming")</f>
        <v>Kunming</v>
      </c>
      <c r="E2751" s="1" t="s">
        <v>2526</v>
      </c>
      <c r="F2751" s="1" t="str">
        <f>IFERROR(__xludf.DUMMYFUNCTION("GOOGLETRANSLATE(E2751, ""zh-CN"", ""en"")"),"Chonggong District")</f>
        <v>Chonggong District</v>
      </c>
      <c r="G2751" s="1">
        <v>5.30114E11</v>
      </c>
    </row>
    <row r="2752">
      <c r="A2752" s="1" t="s">
        <v>2504</v>
      </c>
      <c r="B2752" s="1" t="str">
        <f>IFERROR(__xludf.DUMMYFUNCTION("GOOGLETRANSLATE(A2678, ""zh-CN"", ""en"")"),"Jilin Province")</f>
        <v>Jilin Province</v>
      </c>
      <c r="C2752" s="1" t="s">
        <v>2505</v>
      </c>
      <c r="D2752" s="1" t="str">
        <f>IFERROR(__xludf.DUMMYFUNCTION("GOOGLETRANSLATE(C2752, ""zh-CN"", ""en"")"),"Kunming")</f>
        <v>Kunming</v>
      </c>
      <c r="E2752" s="1" t="s">
        <v>2527</v>
      </c>
      <c r="F2752" s="1" t="str">
        <f>IFERROR(__xludf.DUMMYFUNCTION("GOOGLETRANSLATE(E2752, ""zh-CN"", ""en"")"),"Jinning District")</f>
        <v>Jinning District</v>
      </c>
      <c r="G2752" s="1">
        <v>5.30115E11</v>
      </c>
    </row>
    <row r="2753">
      <c r="A2753" s="1" t="s">
        <v>2504</v>
      </c>
      <c r="B2753" s="1" t="str">
        <f>IFERROR(__xludf.DUMMYFUNCTION("GOOGLETRANSLATE(A2679, ""zh-CN"", ""en"")"),"Jilin Province")</f>
        <v>Jilin Province</v>
      </c>
      <c r="C2753" s="1" t="s">
        <v>2505</v>
      </c>
      <c r="D2753" s="1" t="str">
        <f>IFERROR(__xludf.DUMMYFUNCTION("GOOGLETRANSLATE(C2753, ""zh-CN"", ""en"")"),"Kunming")</f>
        <v>Kunming</v>
      </c>
      <c r="E2753" s="1" t="s">
        <v>2528</v>
      </c>
      <c r="F2753" s="1" t="str">
        <f>IFERROR(__xludf.DUMMYFUNCTION("GOOGLETRANSLATE(E2753, ""zh-CN"", ""en"")"),"Fumin County")</f>
        <v>Fumin County</v>
      </c>
      <c r="G2753" s="1">
        <v>5.30124E11</v>
      </c>
    </row>
    <row r="2754">
      <c r="A2754" s="1" t="s">
        <v>2504</v>
      </c>
      <c r="B2754" s="1" t="str">
        <f>IFERROR(__xludf.DUMMYFUNCTION("GOOGLETRANSLATE(A2680, ""zh-CN"", ""en"")"),"Jilin Province")</f>
        <v>Jilin Province</v>
      </c>
      <c r="C2754" s="1" t="s">
        <v>2505</v>
      </c>
      <c r="D2754" s="1" t="str">
        <f>IFERROR(__xludf.DUMMYFUNCTION("GOOGLETRANSLATE(C2754, ""zh-CN"", ""en"")"),"Kunming")</f>
        <v>Kunming</v>
      </c>
      <c r="E2754" s="1" t="s">
        <v>2529</v>
      </c>
      <c r="F2754" s="1" t="str">
        <f>IFERROR(__xludf.DUMMYFUNCTION("GOOGLETRANSLATE(E2754, ""zh-CN"", ""en"")"),"Yiliang County")</f>
        <v>Yiliang County</v>
      </c>
      <c r="G2754" s="1">
        <v>5.30125E11</v>
      </c>
    </row>
    <row r="2755">
      <c r="A2755" s="1" t="s">
        <v>2504</v>
      </c>
      <c r="B2755" s="1" t="str">
        <f>IFERROR(__xludf.DUMMYFUNCTION("GOOGLETRANSLATE(A2681, ""zh-CN"", ""en"")"),"Jilin Province")</f>
        <v>Jilin Province</v>
      </c>
      <c r="C2755" s="1" t="s">
        <v>2505</v>
      </c>
      <c r="D2755" s="1" t="str">
        <f>IFERROR(__xludf.DUMMYFUNCTION("GOOGLETRANSLATE(C2755, ""zh-CN"", ""en"")"),"Kunming")</f>
        <v>Kunming</v>
      </c>
      <c r="E2755" s="1" t="s">
        <v>2530</v>
      </c>
      <c r="F2755" s="1" t="str">
        <f>IFERROR(__xludf.DUMMYFUNCTION("GOOGLETRANSLATE(E2755, ""zh-CN"", ""en"")"),"Shilin Yi Autonomous County")</f>
        <v>Shilin Yi Autonomous County</v>
      </c>
      <c r="G2755" s="1">
        <v>5.30126E11</v>
      </c>
    </row>
    <row r="2756">
      <c r="A2756" s="1" t="s">
        <v>2504</v>
      </c>
      <c r="B2756" s="1" t="str">
        <f>IFERROR(__xludf.DUMMYFUNCTION("GOOGLETRANSLATE(A2682, ""zh-CN"", ""en"")"),"Jilin Province")</f>
        <v>Jilin Province</v>
      </c>
      <c r="C2756" s="1" t="s">
        <v>2505</v>
      </c>
      <c r="D2756" s="1" t="str">
        <f>IFERROR(__xludf.DUMMYFUNCTION("GOOGLETRANSLATE(C2756, ""zh-CN"", ""en"")"),"Kunming")</f>
        <v>Kunming</v>
      </c>
      <c r="E2756" s="1" t="s">
        <v>2531</v>
      </c>
      <c r="F2756" s="1" t="str">
        <f>IFERROR(__xludf.DUMMYFUNCTION("GOOGLETRANSLATE(E2756, ""zh-CN"", ""en"")"),"Songming County")</f>
        <v>Songming County</v>
      </c>
      <c r="G2756" s="1">
        <v>5.30127E11</v>
      </c>
    </row>
    <row r="2757">
      <c r="A2757" s="1" t="s">
        <v>2504</v>
      </c>
      <c r="B2757" s="1" t="str">
        <f>IFERROR(__xludf.DUMMYFUNCTION("GOOGLETRANSLATE(A2683, ""zh-CN"", ""en"")"),"Jilin Province")</f>
        <v>Jilin Province</v>
      </c>
      <c r="C2757" s="1" t="s">
        <v>2505</v>
      </c>
      <c r="D2757" s="1" t="str">
        <f>IFERROR(__xludf.DUMMYFUNCTION("GOOGLETRANSLATE(C2757, ""zh-CN"", ""en"")"),"Kunming")</f>
        <v>Kunming</v>
      </c>
      <c r="E2757" s="1" t="s">
        <v>2532</v>
      </c>
      <c r="F2757" s="1" t="str">
        <f>IFERROR(__xludf.DUMMYFUNCTION("GOOGLETRANSLATE(E2757, ""zh-CN"", ""en"")"),"Lu Dusan Yi Miao Autonomous County")</f>
        <v>Lu Dusan Yi Miao Autonomous County</v>
      </c>
      <c r="G2757" s="1">
        <v>5.30128E11</v>
      </c>
    </row>
    <row r="2758">
      <c r="A2758" s="1" t="s">
        <v>2504</v>
      </c>
      <c r="B2758" s="1" t="str">
        <f>IFERROR(__xludf.DUMMYFUNCTION("GOOGLETRANSLATE(A2684, ""zh-CN"", ""en"")"),"Jilin Province")</f>
        <v>Jilin Province</v>
      </c>
      <c r="C2758" s="1" t="s">
        <v>2505</v>
      </c>
      <c r="D2758" s="1" t="str">
        <f>IFERROR(__xludf.DUMMYFUNCTION("GOOGLETRANSLATE(C2758, ""zh-CN"", ""en"")"),"Kunming")</f>
        <v>Kunming</v>
      </c>
      <c r="E2758" s="1" t="s">
        <v>2533</v>
      </c>
      <c r="F2758" s="1" t="str">
        <f>IFERROR(__xludf.DUMMYFUNCTION("GOOGLETRANSLATE(E2758, ""zh-CN"", ""en"")"),"Xundian Hui Autonomous County")</f>
        <v>Xundian Hui Autonomous County</v>
      </c>
      <c r="G2758" s="1">
        <v>5.30129E11</v>
      </c>
    </row>
    <row r="2759">
      <c r="A2759" s="1" t="s">
        <v>2504</v>
      </c>
      <c r="B2759" s="1" t="str">
        <f>IFERROR(__xludf.DUMMYFUNCTION("GOOGLETRANSLATE(A2685, ""zh-CN"", ""en"")"),"Jilin Province")</f>
        <v>Jilin Province</v>
      </c>
      <c r="C2759" s="1" t="s">
        <v>2505</v>
      </c>
      <c r="D2759" s="1" t="str">
        <f>IFERROR(__xludf.DUMMYFUNCTION("GOOGLETRANSLATE(C2759, ""zh-CN"", ""en"")"),"Kunming")</f>
        <v>Kunming</v>
      </c>
      <c r="E2759" s="1" t="s">
        <v>2534</v>
      </c>
      <c r="F2759" s="1" t="str">
        <f>IFERROR(__xludf.DUMMYFUNCTION("GOOGLETRANSLATE(E2759, ""zh-CN"", ""en"")"),"Anning City")</f>
        <v>Anning City</v>
      </c>
      <c r="G2759" s="1">
        <v>5.30181E11</v>
      </c>
    </row>
    <row r="2760">
      <c r="A2760" s="1" t="s">
        <v>2504</v>
      </c>
      <c r="B2760" s="1" t="str">
        <f>IFERROR(__xludf.DUMMYFUNCTION("GOOGLETRANSLATE(A2686, ""zh-CN"", ""en"")"),"Jilin Province")</f>
        <v>Jilin Province</v>
      </c>
      <c r="C2760" s="1" t="s">
        <v>2506</v>
      </c>
      <c r="D2760" s="1" t="str">
        <f>IFERROR(__xludf.DUMMYFUNCTION("GOOGLETRANSLATE(C2760, ""zh-CN"", ""en"")"),"Qujing City")</f>
        <v>Qujing City</v>
      </c>
      <c r="E2760" s="1" t="s">
        <v>24</v>
      </c>
      <c r="F2760" s="1" t="str">
        <f>IFERROR(__xludf.DUMMYFUNCTION("GOOGLETRANSLATE(E2760, ""zh-CN"", ""en"")"),"City area")</f>
        <v>City area</v>
      </c>
      <c r="G2760" s="1">
        <v>5.30301E11</v>
      </c>
    </row>
    <row r="2761">
      <c r="A2761" s="1" t="s">
        <v>2504</v>
      </c>
      <c r="B2761" s="1" t="str">
        <f>IFERROR(__xludf.DUMMYFUNCTION("GOOGLETRANSLATE(A2687, ""zh-CN"", ""en"")"),"Jilin Province")</f>
        <v>Jilin Province</v>
      </c>
      <c r="C2761" s="1" t="s">
        <v>2506</v>
      </c>
      <c r="D2761" s="1" t="str">
        <f>IFERROR(__xludf.DUMMYFUNCTION("GOOGLETRANSLATE(C2761, ""zh-CN"", ""en"")"),"Qujing City")</f>
        <v>Qujing City</v>
      </c>
      <c r="E2761" s="1" t="s">
        <v>2535</v>
      </c>
      <c r="F2761" s="1" t="str">
        <f>IFERROR(__xludf.DUMMYFUNCTION("GOOGLETRANSLATE(E2761, ""zh-CN"", ""en"")"),"Kirin District")</f>
        <v>Kirin District</v>
      </c>
      <c r="G2761" s="1">
        <v>5.30302E11</v>
      </c>
    </row>
    <row r="2762">
      <c r="A2762" s="1" t="s">
        <v>2504</v>
      </c>
      <c r="B2762" s="1" t="str">
        <f>IFERROR(__xludf.DUMMYFUNCTION("GOOGLETRANSLATE(A2688, ""zh-CN"", ""en"")"),"Jilin Province")</f>
        <v>Jilin Province</v>
      </c>
      <c r="C2762" s="1" t="s">
        <v>2506</v>
      </c>
      <c r="D2762" s="1" t="str">
        <f>IFERROR(__xludf.DUMMYFUNCTION("GOOGLETRANSLATE(C2762, ""zh-CN"", ""en"")"),"Qujing City")</f>
        <v>Qujing City</v>
      </c>
      <c r="E2762" s="1" t="s">
        <v>2536</v>
      </c>
      <c r="F2762" s="1" t="str">
        <f>IFERROR(__xludf.DUMMYFUNCTION("GOOGLETRANSLATE(E2762, ""zh-CN"", ""en"")"),"Zhanyi District")</f>
        <v>Zhanyi District</v>
      </c>
      <c r="G2762" s="1">
        <v>5.30303E11</v>
      </c>
    </row>
    <row r="2763">
      <c r="A2763" s="1" t="s">
        <v>2504</v>
      </c>
      <c r="B2763" s="1" t="str">
        <f>IFERROR(__xludf.DUMMYFUNCTION("GOOGLETRANSLATE(A2689, ""zh-CN"", ""en"")"),"Jilin Province")</f>
        <v>Jilin Province</v>
      </c>
      <c r="C2763" s="1" t="s">
        <v>2506</v>
      </c>
      <c r="D2763" s="1" t="str">
        <f>IFERROR(__xludf.DUMMYFUNCTION("GOOGLETRANSLATE(C2763, ""zh-CN"", ""en"")"),"Qujing City")</f>
        <v>Qujing City</v>
      </c>
      <c r="E2763" s="1" t="s">
        <v>2537</v>
      </c>
      <c r="F2763" s="1" t="str">
        <f>IFERROR(__xludf.DUMMYFUNCTION("GOOGLETRANSLATE(E2763, ""zh-CN"", ""en"")"),"Malone")</f>
        <v>Malone</v>
      </c>
      <c r="G2763" s="1">
        <v>5.30304E11</v>
      </c>
    </row>
    <row r="2764">
      <c r="A2764" s="1" t="s">
        <v>2504</v>
      </c>
      <c r="B2764" s="1" t="str">
        <f>IFERROR(__xludf.DUMMYFUNCTION("GOOGLETRANSLATE(A2690, ""zh-CN"", ""en"")"),"Jilin Province")</f>
        <v>Jilin Province</v>
      </c>
      <c r="C2764" s="1" t="s">
        <v>2506</v>
      </c>
      <c r="D2764" s="1" t="str">
        <f>IFERROR(__xludf.DUMMYFUNCTION("GOOGLETRANSLATE(C2764, ""zh-CN"", ""en"")"),"Qujing City")</f>
        <v>Qujing City</v>
      </c>
      <c r="E2764" s="1" t="s">
        <v>2538</v>
      </c>
      <c r="F2764" s="1" t="str">
        <f>IFERROR(__xludf.DUMMYFUNCTION("GOOGLETRANSLATE(E2764, ""zh-CN"", ""en"")"),"Lu Liang County")</f>
        <v>Lu Liang County</v>
      </c>
      <c r="G2764" s="1">
        <v>5.30322E11</v>
      </c>
    </row>
    <row r="2765">
      <c r="A2765" s="1" t="s">
        <v>2504</v>
      </c>
      <c r="B2765" s="1" t="str">
        <f>IFERROR(__xludf.DUMMYFUNCTION("GOOGLETRANSLATE(A2691, ""zh-CN"", ""en"")"),"Jilin Province")</f>
        <v>Jilin Province</v>
      </c>
      <c r="C2765" s="1" t="s">
        <v>2506</v>
      </c>
      <c r="D2765" s="1" t="str">
        <f>IFERROR(__xludf.DUMMYFUNCTION("GOOGLETRANSLATE(C2765, ""zh-CN"", ""en"")"),"Qujing City")</f>
        <v>Qujing City</v>
      </c>
      <c r="E2765" s="1" t="s">
        <v>2539</v>
      </c>
      <c r="F2765" s="1" t="str">
        <f>IFERROR(__xludf.DUMMYFUNCTION("GOOGLETRANSLATE(E2765, ""zh-CN"", ""en"")"),"Shizong County")</f>
        <v>Shizong County</v>
      </c>
      <c r="G2765" s="1">
        <v>5.30323E11</v>
      </c>
    </row>
    <row r="2766">
      <c r="A2766" s="1" t="s">
        <v>2504</v>
      </c>
      <c r="B2766" s="1" t="str">
        <f>IFERROR(__xludf.DUMMYFUNCTION("GOOGLETRANSLATE(A2692, ""zh-CN"", ""en"")"),"Jilin Province")</f>
        <v>Jilin Province</v>
      </c>
      <c r="C2766" s="1" t="s">
        <v>2506</v>
      </c>
      <c r="D2766" s="1" t="str">
        <f>IFERROR(__xludf.DUMMYFUNCTION("GOOGLETRANSLATE(C2766, ""zh-CN"", ""en"")"),"Qujing City")</f>
        <v>Qujing City</v>
      </c>
      <c r="E2766" s="1" t="s">
        <v>2540</v>
      </c>
      <c r="F2766" s="1" t="str">
        <f>IFERROR(__xludf.DUMMYFUNCTION("GOOGLETRANSLATE(E2766, ""zh-CN"", ""en"")"),"Luoping County")</f>
        <v>Luoping County</v>
      </c>
      <c r="G2766" s="1">
        <v>5.30324E11</v>
      </c>
    </row>
    <row r="2767">
      <c r="A2767" s="1" t="s">
        <v>2504</v>
      </c>
      <c r="B2767" s="1" t="str">
        <f>IFERROR(__xludf.DUMMYFUNCTION("GOOGLETRANSLATE(A2693, ""zh-CN"", ""en"")"),"Jilin Province")</f>
        <v>Jilin Province</v>
      </c>
      <c r="C2767" s="1" t="s">
        <v>2506</v>
      </c>
      <c r="D2767" s="1" t="str">
        <f>IFERROR(__xludf.DUMMYFUNCTION("GOOGLETRANSLATE(C2767, ""zh-CN"", ""en"")"),"Qujing City")</f>
        <v>Qujing City</v>
      </c>
      <c r="E2767" s="1" t="s">
        <v>2541</v>
      </c>
      <c r="F2767" s="1" t="str">
        <f>IFERROR(__xludf.DUMMYFUNCTION("GOOGLETRANSLATE(E2767, ""zh-CN"", ""en"")"),"Fuyuan County")</f>
        <v>Fuyuan County</v>
      </c>
      <c r="G2767" s="1">
        <v>5.30325E11</v>
      </c>
    </row>
    <row r="2768">
      <c r="A2768" s="1" t="s">
        <v>2504</v>
      </c>
      <c r="B2768" s="1" t="str">
        <f>IFERROR(__xludf.DUMMYFUNCTION("GOOGLETRANSLATE(A2694, ""zh-CN"", ""en"")"),"Jilin Province")</f>
        <v>Jilin Province</v>
      </c>
      <c r="C2768" s="1" t="s">
        <v>2506</v>
      </c>
      <c r="D2768" s="1" t="str">
        <f>IFERROR(__xludf.DUMMYFUNCTION("GOOGLETRANSLATE(C2768, ""zh-CN"", ""en"")"),"Qujing City")</f>
        <v>Qujing City</v>
      </c>
      <c r="E2768" s="1" t="s">
        <v>2542</v>
      </c>
      <c r="F2768" s="1" t="str">
        <f>IFERROR(__xludf.DUMMYFUNCTION("GOOGLETRANSLATE(E2768, ""zh-CN"", ""en"")"),"Huizawa Prefecture")</f>
        <v>Huizawa Prefecture</v>
      </c>
      <c r="G2768" s="1">
        <v>5.30326E11</v>
      </c>
    </row>
    <row r="2769">
      <c r="A2769" s="1" t="s">
        <v>2504</v>
      </c>
      <c r="B2769" s="1" t="str">
        <f>IFERROR(__xludf.DUMMYFUNCTION("GOOGLETRANSLATE(A2695, ""zh-CN"", ""en"")"),"Jilin Province")</f>
        <v>Jilin Province</v>
      </c>
      <c r="C2769" s="1" t="s">
        <v>2506</v>
      </c>
      <c r="D2769" s="1" t="str">
        <f>IFERROR(__xludf.DUMMYFUNCTION("GOOGLETRANSLATE(C2769, ""zh-CN"", ""en"")"),"Qujing City")</f>
        <v>Qujing City</v>
      </c>
      <c r="E2769" s="1" t="s">
        <v>2543</v>
      </c>
      <c r="F2769" s="1" t="str">
        <f>IFERROR(__xludf.DUMMYFUNCTION("GOOGLETRANSLATE(E2769, ""zh-CN"", ""en"")"),"Xuanwei City")</f>
        <v>Xuanwei City</v>
      </c>
      <c r="G2769" s="1">
        <v>5.30381E11</v>
      </c>
    </row>
    <row r="2770">
      <c r="A2770" s="1" t="s">
        <v>2504</v>
      </c>
      <c r="B2770" s="1" t="str">
        <f>IFERROR(__xludf.DUMMYFUNCTION("GOOGLETRANSLATE(A2696, ""zh-CN"", ""en"")"),"Jilin Province")</f>
        <v>Jilin Province</v>
      </c>
      <c r="C2770" s="1" t="s">
        <v>2507</v>
      </c>
      <c r="D2770" s="1" t="str">
        <f>IFERROR(__xludf.DUMMYFUNCTION("GOOGLETRANSLATE(C2770, ""zh-CN"", ""en"")"),"Yuxi City")</f>
        <v>Yuxi City</v>
      </c>
      <c r="E2770" s="1" t="s">
        <v>24</v>
      </c>
      <c r="F2770" s="1" t="str">
        <f>IFERROR(__xludf.DUMMYFUNCTION("GOOGLETRANSLATE(E2770, ""zh-CN"", ""en"")"),"City area")</f>
        <v>City area</v>
      </c>
      <c r="G2770" s="1">
        <v>5.30401E11</v>
      </c>
    </row>
    <row r="2771">
      <c r="A2771" s="1" t="s">
        <v>2504</v>
      </c>
      <c r="B2771" s="1" t="str">
        <f>IFERROR(__xludf.DUMMYFUNCTION("GOOGLETRANSLATE(A2697, ""zh-CN"", ""en"")"),"Jilin Province")</f>
        <v>Jilin Province</v>
      </c>
      <c r="C2771" s="1" t="s">
        <v>2507</v>
      </c>
      <c r="D2771" s="1" t="str">
        <f>IFERROR(__xludf.DUMMYFUNCTION("GOOGLETRANSLATE(C2771, ""zh-CN"", ""en"")"),"Yuxi City")</f>
        <v>Yuxi City</v>
      </c>
      <c r="E2771" s="1" t="s">
        <v>2544</v>
      </c>
      <c r="F2771" s="1" t="str">
        <f>IFERROR(__xludf.DUMMYFUNCTION("GOOGLETRANSLATE(E2771, ""zh-CN"", ""en"")"),"Red tower area")</f>
        <v>Red tower area</v>
      </c>
      <c r="G2771" s="1">
        <v>5.30402E11</v>
      </c>
    </row>
    <row r="2772">
      <c r="A2772" s="1" t="s">
        <v>2504</v>
      </c>
      <c r="B2772" s="1" t="str">
        <f>IFERROR(__xludf.DUMMYFUNCTION("GOOGLETRANSLATE(A2698, ""zh-CN"", ""en"")"),"Jilin Province")</f>
        <v>Jilin Province</v>
      </c>
      <c r="C2772" s="1" t="s">
        <v>2507</v>
      </c>
      <c r="D2772" s="1" t="str">
        <f>IFERROR(__xludf.DUMMYFUNCTION("GOOGLETRANSLATE(C2772, ""zh-CN"", ""en"")"),"Yuxi City")</f>
        <v>Yuxi City</v>
      </c>
      <c r="E2772" s="1" t="s">
        <v>2545</v>
      </c>
      <c r="F2772" s="1" t="str">
        <f>IFERROR(__xludf.DUMMYFUNCTION("GOOGLETRANSLATE(E2772, ""zh-CN"", ""en"")"),"Jiangchuan District")</f>
        <v>Jiangchuan District</v>
      </c>
      <c r="G2772" s="1">
        <v>5.30403E11</v>
      </c>
    </row>
    <row r="2773">
      <c r="A2773" s="1" t="s">
        <v>2504</v>
      </c>
      <c r="B2773" s="1" t="str">
        <f>IFERROR(__xludf.DUMMYFUNCTION("GOOGLETRANSLATE(A2699, ""zh-CN"", ""en"")"),"Jilin Province")</f>
        <v>Jilin Province</v>
      </c>
      <c r="C2773" s="1" t="s">
        <v>2507</v>
      </c>
      <c r="D2773" s="1" t="str">
        <f>IFERROR(__xludf.DUMMYFUNCTION("GOOGLETRANSLATE(C2773, ""zh-CN"", ""en"")"),"Yuxi City")</f>
        <v>Yuxi City</v>
      </c>
      <c r="E2773" s="1" t="s">
        <v>2546</v>
      </c>
      <c r="F2773" s="1" t="str">
        <f>IFERROR(__xludf.DUMMYFUNCTION("GOOGLETRANSLATE(E2773, ""zh-CN"", ""en"")"),"Tonghai County")</f>
        <v>Tonghai County</v>
      </c>
      <c r="G2773" s="1">
        <v>5.30423E11</v>
      </c>
    </row>
    <row r="2774">
      <c r="A2774" s="1" t="s">
        <v>2504</v>
      </c>
      <c r="B2774" s="1" t="str">
        <f>IFERROR(__xludf.DUMMYFUNCTION("GOOGLETRANSLATE(A2700, ""zh-CN"", ""en"")"),"Jilin Province")</f>
        <v>Jilin Province</v>
      </c>
      <c r="C2774" s="1" t="s">
        <v>2507</v>
      </c>
      <c r="D2774" s="1" t="str">
        <f>IFERROR(__xludf.DUMMYFUNCTION("GOOGLETRANSLATE(C2774, ""zh-CN"", ""en"")"),"Yuxi City")</f>
        <v>Yuxi City</v>
      </c>
      <c r="E2774" s="1" t="s">
        <v>2547</v>
      </c>
      <c r="F2774" s="1" t="str">
        <f>IFERROR(__xludf.DUMMYFUNCTION("GOOGLETRANSLATE(E2774, ""zh-CN"", ""en"")"),"Huining County")</f>
        <v>Huining County</v>
      </c>
      <c r="G2774" s="1">
        <v>5.30424E11</v>
      </c>
    </row>
    <row r="2775">
      <c r="A2775" s="1" t="s">
        <v>2504</v>
      </c>
      <c r="B2775" s="1" t="str">
        <f>IFERROR(__xludf.DUMMYFUNCTION("GOOGLETRANSLATE(A2701, ""zh-CN"", ""en"")"),"Jilin Province")</f>
        <v>Jilin Province</v>
      </c>
      <c r="C2775" s="1" t="s">
        <v>2507</v>
      </c>
      <c r="D2775" s="1" t="str">
        <f>IFERROR(__xludf.DUMMYFUNCTION("GOOGLETRANSLATE(C2775, ""zh-CN"", ""en"")"),"Yuxi City")</f>
        <v>Yuxi City</v>
      </c>
      <c r="E2775" s="1" t="s">
        <v>2548</v>
      </c>
      <c r="F2775" s="1" t="str">
        <f>IFERROR(__xludf.DUMMYFUNCTION("GOOGLETRANSLATE(E2775, ""zh-CN"", ""en"")"),"Yimen County")</f>
        <v>Yimen County</v>
      </c>
      <c r="G2775" s="1">
        <v>5.30425E11</v>
      </c>
    </row>
    <row r="2776">
      <c r="A2776" s="1" t="s">
        <v>2504</v>
      </c>
      <c r="B2776" s="1" t="str">
        <f>IFERROR(__xludf.DUMMYFUNCTION("GOOGLETRANSLATE(A2702, ""zh-CN"", ""en"")"),"Jilin Province")</f>
        <v>Jilin Province</v>
      </c>
      <c r="C2776" s="1" t="s">
        <v>2507</v>
      </c>
      <c r="D2776" s="1" t="str">
        <f>IFERROR(__xludf.DUMMYFUNCTION("GOOGLETRANSLATE(C2776, ""zh-CN"", ""en"")"),"Yuxi City")</f>
        <v>Yuxi City</v>
      </c>
      <c r="E2776" s="1" t="s">
        <v>2549</v>
      </c>
      <c r="F2776" s="1" t="str">
        <f>IFERROR(__xludf.DUMMYFUNCTION("GOOGLETRANSLATE(E2776, ""zh-CN"", ""en"")"),"Eshan Yi Autonomous County")</f>
        <v>Eshan Yi Autonomous County</v>
      </c>
      <c r="G2776" s="1">
        <v>5.30426E11</v>
      </c>
    </row>
    <row r="2777">
      <c r="A2777" s="1" t="s">
        <v>2504</v>
      </c>
      <c r="B2777" s="1" t="str">
        <f>IFERROR(__xludf.DUMMYFUNCTION("GOOGLETRANSLATE(A2703, ""zh-CN"", ""en"")"),"Jilin Province")</f>
        <v>Jilin Province</v>
      </c>
      <c r="C2777" s="1" t="s">
        <v>2507</v>
      </c>
      <c r="D2777" s="1" t="str">
        <f>IFERROR(__xludf.DUMMYFUNCTION("GOOGLETRANSLATE(C2777, ""zh-CN"", ""en"")"),"Yuxi City")</f>
        <v>Yuxi City</v>
      </c>
      <c r="E2777" s="1" t="s">
        <v>2550</v>
      </c>
      <c r="F2777" s="1" t="str">
        <f>IFERROR(__xludf.DUMMYFUNCTION("GOOGLETRANSLATE(E2777, ""zh-CN"", ""en"")"),"Xinping Yi Dai Autonomous County")</f>
        <v>Xinping Yi Dai Autonomous County</v>
      </c>
      <c r="G2777" s="1">
        <v>5.30427E11</v>
      </c>
    </row>
    <row r="2778">
      <c r="A2778" s="1" t="s">
        <v>2504</v>
      </c>
      <c r="B2778" s="1" t="str">
        <f>IFERROR(__xludf.DUMMYFUNCTION("GOOGLETRANSLATE(A2704, ""zh-CN"", ""en"")"),"Jilin Province")</f>
        <v>Jilin Province</v>
      </c>
      <c r="C2778" s="1" t="s">
        <v>2507</v>
      </c>
      <c r="D2778" s="1" t="str">
        <f>IFERROR(__xludf.DUMMYFUNCTION("GOOGLETRANSLATE(C2778, ""zh-CN"", ""en"")"),"Yuxi City")</f>
        <v>Yuxi City</v>
      </c>
      <c r="E2778" s="1" t="s">
        <v>2551</v>
      </c>
      <c r="F2778" s="1" t="str">
        <f>IFERROR(__xludf.DUMMYFUNCTION("GOOGLETRANSLATE(E2778, ""zh-CN"", ""en"")"),"Yuanjianghani Yi Yi Dai Dai Autonomous County")</f>
        <v>Yuanjianghani Yi Yi Dai Dai Autonomous County</v>
      </c>
      <c r="G2778" s="1">
        <v>5.30428E11</v>
      </c>
    </row>
    <row r="2779">
      <c r="A2779" s="1" t="s">
        <v>2504</v>
      </c>
      <c r="B2779" s="1" t="str">
        <f>IFERROR(__xludf.DUMMYFUNCTION("GOOGLETRANSLATE(A2705, ""zh-CN"", ""en"")"),"Jilin Province")</f>
        <v>Jilin Province</v>
      </c>
      <c r="C2779" s="1" t="s">
        <v>2507</v>
      </c>
      <c r="D2779" s="1" t="str">
        <f>IFERROR(__xludf.DUMMYFUNCTION("GOOGLETRANSLATE(C2779, ""zh-CN"", ""en"")"),"Yuxi City")</f>
        <v>Yuxi City</v>
      </c>
      <c r="E2779" s="1" t="s">
        <v>2552</v>
      </c>
      <c r="F2779" s="1" t="str">
        <f>IFERROR(__xludf.DUMMYFUNCTION("GOOGLETRANSLATE(E2779, ""zh-CN"", ""en"")"),"Chengjiang City")</f>
        <v>Chengjiang City</v>
      </c>
      <c r="G2779" s="1">
        <v>5.30481E11</v>
      </c>
    </row>
    <row r="2780">
      <c r="A2780" s="1" t="s">
        <v>2504</v>
      </c>
      <c r="B2780" s="1" t="str">
        <f>IFERROR(__xludf.DUMMYFUNCTION("GOOGLETRANSLATE(A2706, ""zh-CN"", ""en"")"),"Jilin Province")</f>
        <v>Jilin Province</v>
      </c>
      <c r="C2780" s="1" t="s">
        <v>2508</v>
      </c>
      <c r="D2780" s="1" t="str">
        <f>IFERROR(__xludf.DUMMYFUNCTION("GOOGLETRANSLATE(C2780, ""zh-CN"", ""en"")"),"Baoshan City")</f>
        <v>Baoshan City</v>
      </c>
      <c r="E2780" s="1" t="s">
        <v>24</v>
      </c>
      <c r="F2780" s="1" t="str">
        <f>IFERROR(__xludf.DUMMYFUNCTION("GOOGLETRANSLATE(E2780, ""zh-CN"", ""en"")"),"City area")</f>
        <v>City area</v>
      </c>
      <c r="G2780" s="1">
        <v>5.30501E11</v>
      </c>
    </row>
    <row r="2781">
      <c r="A2781" s="1" t="s">
        <v>2504</v>
      </c>
      <c r="B2781" s="1" t="str">
        <f>IFERROR(__xludf.DUMMYFUNCTION("GOOGLETRANSLATE(A2707, ""zh-CN"", ""en"")"),"Jilin Province")</f>
        <v>Jilin Province</v>
      </c>
      <c r="C2781" s="1" t="s">
        <v>2508</v>
      </c>
      <c r="D2781" s="1" t="str">
        <f>IFERROR(__xludf.DUMMYFUNCTION("GOOGLETRANSLATE(C2781, ""zh-CN"", ""en"")"),"Baoshan City")</f>
        <v>Baoshan City</v>
      </c>
      <c r="E2781" s="1" t="s">
        <v>2553</v>
      </c>
      <c r="F2781" s="1" t="str">
        <f>IFERROR(__xludf.DUMMYFUNCTION("GOOGLETRANSLATE(E2781, ""zh-CN"", ""en"")"),"Longyang District")</f>
        <v>Longyang District</v>
      </c>
      <c r="G2781" s="1">
        <v>5.30502E11</v>
      </c>
    </row>
    <row r="2782">
      <c r="A2782" s="1" t="s">
        <v>2504</v>
      </c>
      <c r="B2782" s="1" t="str">
        <f>IFERROR(__xludf.DUMMYFUNCTION("GOOGLETRANSLATE(A2708, ""zh-CN"", ""en"")"),"Jilin Province")</f>
        <v>Jilin Province</v>
      </c>
      <c r="C2782" s="1" t="s">
        <v>2508</v>
      </c>
      <c r="D2782" s="1" t="str">
        <f>IFERROR(__xludf.DUMMYFUNCTION("GOOGLETRANSLATE(C2782, ""zh-CN"", ""en"")"),"Baoshan City")</f>
        <v>Baoshan City</v>
      </c>
      <c r="E2782" s="1" t="s">
        <v>2554</v>
      </c>
      <c r="F2782" s="1" t="str">
        <f>IFERROR(__xludf.DUMMYFUNCTION("GOOGLETRANSLATE(E2782, ""zh-CN"", ""en"")"),"Shidian County")</f>
        <v>Shidian County</v>
      </c>
      <c r="G2782" s="1">
        <v>5.30521E11</v>
      </c>
    </row>
    <row r="2783">
      <c r="A2783" s="1" t="s">
        <v>2504</v>
      </c>
      <c r="B2783" s="1" t="str">
        <f>IFERROR(__xludf.DUMMYFUNCTION("GOOGLETRANSLATE(A2709, ""zh-CN"", ""en"")"),"Jilin Province")</f>
        <v>Jilin Province</v>
      </c>
      <c r="C2783" s="1" t="s">
        <v>2508</v>
      </c>
      <c r="D2783" s="1" t="str">
        <f>IFERROR(__xludf.DUMMYFUNCTION("GOOGLETRANSLATE(C2783, ""zh-CN"", ""en"")"),"Baoshan City")</f>
        <v>Baoshan City</v>
      </c>
      <c r="E2783" s="1" t="s">
        <v>2555</v>
      </c>
      <c r="F2783" s="1" t="str">
        <f>IFERROR(__xludf.DUMMYFUNCTION("GOOGLETRANSLATE(E2783, ""zh-CN"", ""en"")"),"Longling County")</f>
        <v>Longling County</v>
      </c>
      <c r="G2783" s="1">
        <v>5.30523E11</v>
      </c>
    </row>
    <row r="2784">
      <c r="A2784" s="1" t="s">
        <v>2504</v>
      </c>
      <c r="B2784" s="1" t="str">
        <f>IFERROR(__xludf.DUMMYFUNCTION("GOOGLETRANSLATE(A2710, ""zh-CN"", ""en"")"),"Jilin Province")</f>
        <v>Jilin Province</v>
      </c>
      <c r="C2784" s="1" t="s">
        <v>2508</v>
      </c>
      <c r="D2784" s="1" t="str">
        <f>IFERROR(__xludf.DUMMYFUNCTION("GOOGLETRANSLATE(C2784, ""zh-CN"", ""en"")"),"Baoshan City")</f>
        <v>Baoshan City</v>
      </c>
      <c r="E2784" s="1" t="s">
        <v>2556</v>
      </c>
      <c r="F2784" s="1" t="str">
        <f>IFERROR(__xludf.DUMMYFUNCTION("GOOGLETRANSLATE(E2784, ""zh-CN"", ""en"")"),"Changning County")</f>
        <v>Changning County</v>
      </c>
      <c r="G2784" s="1">
        <v>5.30524E11</v>
      </c>
    </row>
    <row r="2785">
      <c r="A2785" s="1" t="s">
        <v>2504</v>
      </c>
      <c r="B2785" s="1" t="str">
        <f>IFERROR(__xludf.DUMMYFUNCTION("GOOGLETRANSLATE(A2711, ""zh-CN"", ""en"")"),"Jilin Province")</f>
        <v>Jilin Province</v>
      </c>
      <c r="C2785" s="1" t="s">
        <v>2508</v>
      </c>
      <c r="D2785" s="1" t="str">
        <f>IFERROR(__xludf.DUMMYFUNCTION("GOOGLETRANSLATE(C2785, ""zh-CN"", ""en"")"),"Baoshan City")</f>
        <v>Baoshan City</v>
      </c>
      <c r="E2785" s="1" t="s">
        <v>2557</v>
      </c>
      <c r="F2785" s="1" t="str">
        <f>IFERROR(__xludf.DUMMYFUNCTION("GOOGLETRANSLATE(E2785, ""zh-CN"", ""en"")"),"Tengchong City")</f>
        <v>Tengchong City</v>
      </c>
      <c r="G2785" s="1">
        <v>5.30581E11</v>
      </c>
    </row>
    <row r="2786">
      <c r="A2786" s="1" t="s">
        <v>2504</v>
      </c>
      <c r="B2786" s="1" t="str">
        <f>IFERROR(__xludf.DUMMYFUNCTION("GOOGLETRANSLATE(A2712, ""zh-CN"", ""en"")"),"Jilin Province")</f>
        <v>Jilin Province</v>
      </c>
      <c r="C2786" s="1" t="s">
        <v>2509</v>
      </c>
      <c r="D2786" s="1" t="str">
        <f>IFERROR(__xludf.DUMMYFUNCTION("GOOGLETRANSLATE(C2786, ""zh-CN"", ""en"")"),"Zhaotong City")</f>
        <v>Zhaotong City</v>
      </c>
      <c r="E2786" s="1" t="s">
        <v>24</v>
      </c>
      <c r="F2786" s="1" t="str">
        <f>IFERROR(__xludf.DUMMYFUNCTION("GOOGLETRANSLATE(E2786, ""zh-CN"", ""en"")"),"City area")</f>
        <v>City area</v>
      </c>
      <c r="G2786" s="1">
        <v>5.30601E11</v>
      </c>
    </row>
    <row r="2787">
      <c r="A2787" s="1" t="s">
        <v>2504</v>
      </c>
      <c r="B2787" s="1" t="str">
        <f>IFERROR(__xludf.DUMMYFUNCTION("GOOGLETRANSLATE(A2713, ""zh-CN"", ""en"")"),"Jilin Province")</f>
        <v>Jilin Province</v>
      </c>
      <c r="C2787" s="1" t="s">
        <v>2509</v>
      </c>
      <c r="D2787" s="1" t="str">
        <f>IFERROR(__xludf.DUMMYFUNCTION("GOOGLETRANSLATE(C2787, ""zh-CN"", ""en"")"),"Zhaotong City")</f>
        <v>Zhaotong City</v>
      </c>
      <c r="E2787" s="1" t="s">
        <v>2558</v>
      </c>
      <c r="F2787" s="1" t="str">
        <f>IFERROR(__xludf.DUMMYFUNCTION("GOOGLETRANSLATE(E2787, ""zh-CN"", ""en"")"),"Zhaoyang District")</f>
        <v>Zhaoyang District</v>
      </c>
      <c r="G2787" s="1">
        <v>5.30602E11</v>
      </c>
    </row>
    <row r="2788">
      <c r="A2788" s="1" t="s">
        <v>2504</v>
      </c>
      <c r="B2788" s="1" t="str">
        <f>IFERROR(__xludf.DUMMYFUNCTION("GOOGLETRANSLATE(A2714, ""zh-CN"", ""en"")"),"Jilin Province")</f>
        <v>Jilin Province</v>
      </c>
      <c r="C2788" s="1" t="s">
        <v>2509</v>
      </c>
      <c r="D2788" s="1" t="str">
        <f>IFERROR(__xludf.DUMMYFUNCTION("GOOGLETRANSLATE(C2788, ""zh-CN"", ""en"")"),"Zhaotong City")</f>
        <v>Zhaotong City</v>
      </c>
      <c r="E2788" s="1" t="s">
        <v>2559</v>
      </c>
      <c r="F2788" s="1" t="str">
        <f>IFERROR(__xludf.DUMMYFUNCTION("GOOGLETRANSLATE(E2788, ""zh-CN"", ""en"")"),"Ludian County")</f>
        <v>Ludian County</v>
      </c>
      <c r="G2788" s="1">
        <v>5.30621E11</v>
      </c>
    </row>
    <row r="2789">
      <c r="A2789" s="1" t="s">
        <v>2504</v>
      </c>
      <c r="B2789" s="1" t="str">
        <f>IFERROR(__xludf.DUMMYFUNCTION("GOOGLETRANSLATE(A2715, ""zh-CN"", ""en"")"),"Jilin Province")</f>
        <v>Jilin Province</v>
      </c>
      <c r="C2789" s="1" t="s">
        <v>2509</v>
      </c>
      <c r="D2789" s="1" t="str">
        <f>IFERROR(__xludf.DUMMYFUNCTION("GOOGLETRANSLATE(C2789, ""zh-CN"", ""en"")"),"Zhaotong City")</f>
        <v>Zhaotong City</v>
      </c>
      <c r="E2789" s="1" t="s">
        <v>2560</v>
      </c>
      <c r="F2789" s="1" t="str">
        <f>IFERROR(__xludf.DUMMYFUNCTION("GOOGLETRANSLATE(E2789, ""zh-CN"", ""en"")"),"Qiaojia County")</f>
        <v>Qiaojia County</v>
      </c>
      <c r="G2789" s="1">
        <v>5.30622E11</v>
      </c>
    </row>
    <row r="2790">
      <c r="A2790" s="1" t="s">
        <v>2504</v>
      </c>
      <c r="B2790" s="1" t="str">
        <f>IFERROR(__xludf.DUMMYFUNCTION("GOOGLETRANSLATE(A2716, ""zh-CN"", ""en"")"),"Jilin Province")</f>
        <v>Jilin Province</v>
      </c>
      <c r="C2790" s="1" t="s">
        <v>2509</v>
      </c>
      <c r="D2790" s="1" t="str">
        <f>IFERROR(__xludf.DUMMYFUNCTION("GOOGLETRANSLATE(C2790, ""zh-CN"", ""en"")"),"Zhaotong City")</f>
        <v>Zhaotong City</v>
      </c>
      <c r="E2790" s="1" t="s">
        <v>2561</v>
      </c>
      <c r="F2790" s="1" t="str">
        <f>IFERROR(__xludf.DUMMYFUNCTION("GOOGLETRANSLATE(E2790, ""zh-CN"", ""en"")"),"Yanjin County")</f>
        <v>Yanjin County</v>
      </c>
      <c r="G2790" s="1">
        <v>5.30623E11</v>
      </c>
    </row>
    <row r="2791">
      <c r="A2791" s="1" t="s">
        <v>2504</v>
      </c>
      <c r="B2791" s="1" t="str">
        <f>IFERROR(__xludf.DUMMYFUNCTION("GOOGLETRANSLATE(A2717, ""zh-CN"", ""en"")"),"Jilin Province")</f>
        <v>Jilin Province</v>
      </c>
      <c r="C2791" s="1" t="s">
        <v>2509</v>
      </c>
      <c r="D2791" s="1" t="str">
        <f>IFERROR(__xludf.DUMMYFUNCTION("GOOGLETRANSLATE(C2791, ""zh-CN"", ""en"")"),"Zhaotong City")</f>
        <v>Zhaotong City</v>
      </c>
      <c r="E2791" s="1" t="s">
        <v>2562</v>
      </c>
      <c r="F2791" s="1" t="str">
        <f>IFERROR(__xludf.DUMMYFUNCTION("GOOGLETRANSLATE(E2791, ""zh-CN"", ""en"")"),"Daguan County")</f>
        <v>Daguan County</v>
      </c>
      <c r="G2791" s="1">
        <v>5.30624E11</v>
      </c>
    </row>
    <row r="2792">
      <c r="A2792" s="1" t="s">
        <v>2504</v>
      </c>
      <c r="B2792" s="1" t="str">
        <f>IFERROR(__xludf.DUMMYFUNCTION("GOOGLETRANSLATE(A2718, ""zh-CN"", ""en"")"),"Jilin Province")</f>
        <v>Jilin Province</v>
      </c>
      <c r="C2792" s="1" t="s">
        <v>2509</v>
      </c>
      <c r="D2792" s="1" t="str">
        <f>IFERROR(__xludf.DUMMYFUNCTION("GOOGLETRANSLATE(C2792, ""zh-CN"", ""en"")"),"Zhaotong City")</f>
        <v>Zhaotong City</v>
      </c>
      <c r="E2792" s="1" t="s">
        <v>2563</v>
      </c>
      <c r="F2792" s="1" t="str">
        <f>IFERROR(__xludf.DUMMYFUNCTION("GOOGLETRANSLATE(E2792, ""zh-CN"", ""en"")"),"Yongshan County")</f>
        <v>Yongshan County</v>
      </c>
      <c r="G2792" s="1">
        <v>5.30625E11</v>
      </c>
    </row>
    <row r="2793">
      <c r="A2793" s="1" t="s">
        <v>2504</v>
      </c>
      <c r="B2793" s="1" t="str">
        <f>IFERROR(__xludf.DUMMYFUNCTION("GOOGLETRANSLATE(A2719, ""zh-CN"", ""en"")"),"Jilin Province")</f>
        <v>Jilin Province</v>
      </c>
      <c r="C2793" s="1" t="s">
        <v>2509</v>
      </c>
      <c r="D2793" s="1" t="str">
        <f>IFERROR(__xludf.DUMMYFUNCTION("GOOGLETRANSLATE(C2793, ""zh-CN"", ""en"")"),"Zhaotong City")</f>
        <v>Zhaotong City</v>
      </c>
      <c r="E2793" s="1" t="s">
        <v>2564</v>
      </c>
      <c r="F2793" s="1" t="str">
        <f>IFERROR(__xludf.DUMMYFUNCTION("GOOGLETRANSLATE(E2793, ""zh-CN"", ""en"")"),"Suijiang County")</f>
        <v>Suijiang County</v>
      </c>
      <c r="G2793" s="1">
        <v>5.30626E11</v>
      </c>
    </row>
    <row r="2794">
      <c r="A2794" s="1" t="s">
        <v>2504</v>
      </c>
      <c r="B2794" s="1" t="str">
        <f>IFERROR(__xludf.DUMMYFUNCTION("GOOGLETRANSLATE(A2720, ""zh-CN"", ""en"")"),"Jilin Province")</f>
        <v>Jilin Province</v>
      </c>
      <c r="C2794" s="1" t="s">
        <v>2509</v>
      </c>
      <c r="D2794" s="1" t="str">
        <f>IFERROR(__xludf.DUMMYFUNCTION("GOOGLETRANSLATE(C2794, ""zh-CN"", ""en"")"),"Zhaotong City")</f>
        <v>Zhaotong City</v>
      </c>
      <c r="E2794" s="1" t="s">
        <v>2565</v>
      </c>
      <c r="F2794" s="1" t="str">
        <f>IFERROR(__xludf.DUMMYFUNCTION("GOOGLETRANSLATE(E2794, ""zh-CN"", ""en"")"),"Zhenxiong County")</f>
        <v>Zhenxiong County</v>
      </c>
      <c r="G2794" s="1">
        <v>5.30627E11</v>
      </c>
    </row>
    <row r="2795">
      <c r="A2795" s="1" t="s">
        <v>2504</v>
      </c>
      <c r="B2795" s="1" t="str">
        <f>IFERROR(__xludf.DUMMYFUNCTION("GOOGLETRANSLATE(A2721, ""zh-CN"", ""en"")"),"Jilin Province")</f>
        <v>Jilin Province</v>
      </c>
      <c r="C2795" s="1" t="s">
        <v>2509</v>
      </c>
      <c r="D2795" s="1" t="str">
        <f>IFERROR(__xludf.DUMMYFUNCTION("GOOGLETRANSLATE(C2795, ""zh-CN"", ""en"")"),"Zhaotong City")</f>
        <v>Zhaotong City</v>
      </c>
      <c r="E2795" s="1" t="s">
        <v>2566</v>
      </c>
      <c r="F2795" s="1" t="str">
        <f>IFERROR(__xludf.DUMMYFUNCTION("GOOGLETRANSLATE(E2795, ""zh-CN"", ""en"")"),"Yiliang County")</f>
        <v>Yiliang County</v>
      </c>
      <c r="G2795" s="1">
        <v>5.30628E11</v>
      </c>
    </row>
    <row r="2796">
      <c r="A2796" s="1" t="s">
        <v>2504</v>
      </c>
      <c r="B2796" s="1" t="str">
        <f>IFERROR(__xludf.DUMMYFUNCTION("GOOGLETRANSLATE(A2722, ""zh-CN"", ""en"")"),"Jilin Province")</f>
        <v>Jilin Province</v>
      </c>
      <c r="C2796" s="1" t="s">
        <v>2509</v>
      </c>
      <c r="D2796" s="1" t="str">
        <f>IFERROR(__xludf.DUMMYFUNCTION("GOOGLETRANSLATE(C2796, ""zh-CN"", ""en"")"),"Zhaotong City")</f>
        <v>Zhaotong City</v>
      </c>
      <c r="E2796" s="1" t="s">
        <v>2567</v>
      </c>
      <c r="F2796" s="1" t="str">
        <f>IFERROR(__xludf.DUMMYFUNCTION("GOOGLETRANSLATE(E2796, ""zh-CN"", ""en"")"),"Prestige")</f>
        <v>Prestige</v>
      </c>
      <c r="G2796" s="1">
        <v>5.30629E11</v>
      </c>
    </row>
    <row r="2797">
      <c r="A2797" s="1" t="s">
        <v>2504</v>
      </c>
      <c r="B2797" s="1" t="str">
        <f>IFERROR(__xludf.DUMMYFUNCTION("GOOGLETRANSLATE(A2723, ""zh-CN"", ""en"")"),"Jilin Province")</f>
        <v>Jilin Province</v>
      </c>
      <c r="C2797" s="1" t="s">
        <v>2509</v>
      </c>
      <c r="D2797" s="1" t="str">
        <f>IFERROR(__xludf.DUMMYFUNCTION("GOOGLETRANSLATE(C2797, ""zh-CN"", ""en"")"),"Zhaotong City")</f>
        <v>Zhaotong City</v>
      </c>
      <c r="E2797" s="1" t="s">
        <v>2568</v>
      </c>
      <c r="F2797" s="1" t="str">
        <f>IFERROR(__xludf.DUMMYFUNCTION("GOOGLETRANSLATE(E2797, ""zh-CN"", ""en"")"),"Waterfish")</f>
        <v>Waterfish</v>
      </c>
      <c r="G2797" s="1">
        <v>5.30681E11</v>
      </c>
    </row>
    <row r="2798">
      <c r="A2798" s="1" t="s">
        <v>2504</v>
      </c>
      <c r="B2798" s="1" t="str">
        <f>IFERROR(__xludf.DUMMYFUNCTION("GOOGLETRANSLATE(A2724, ""zh-CN"", ""en"")"),"Jilin Province")</f>
        <v>Jilin Province</v>
      </c>
      <c r="C2798" s="1" t="s">
        <v>2510</v>
      </c>
      <c r="D2798" s="1" t="str">
        <f>IFERROR(__xludf.DUMMYFUNCTION("GOOGLETRANSLATE(C2798, ""zh-CN"", ""en"")"),"Lijiang City")</f>
        <v>Lijiang City</v>
      </c>
      <c r="E2798" s="1" t="s">
        <v>24</v>
      </c>
      <c r="F2798" s="1" t="str">
        <f>IFERROR(__xludf.DUMMYFUNCTION("GOOGLETRANSLATE(E2798, ""zh-CN"", ""en"")"),"City area")</f>
        <v>City area</v>
      </c>
      <c r="G2798" s="1">
        <v>5.30701E11</v>
      </c>
    </row>
    <row r="2799">
      <c r="A2799" s="1" t="s">
        <v>2504</v>
      </c>
      <c r="B2799" s="1" t="str">
        <f>IFERROR(__xludf.DUMMYFUNCTION("GOOGLETRANSLATE(A2725, ""zh-CN"", ""en"")"),"Jilin Province")</f>
        <v>Jilin Province</v>
      </c>
      <c r="C2799" s="1" t="s">
        <v>2510</v>
      </c>
      <c r="D2799" s="1" t="str">
        <f>IFERROR(__xludf.DUMMYFUNCTION("GOOGLETRANSLATE(C2799, ""zh-CN"", ""en"")"),"Lijiang City")</f>
        <v>Lijiang City</v>
      </c>
      <c r="E2799" s="1" t="s">
        <v>2569</v>
      </c>
      <c r="F2799" s="1" t="str">
        <f>IFERROR(__xludf.DUMMYFUNCTION("GOOGLETRANSLATE(E2799, ""zh-CN"", ""en"")"),"Ancient city")</f>
        <v>Ancient city</v>
      </c>
      <c r="G2799" s="1">
        <v>5.30702E11</v>
      </c>
    </row>
    <row r="2800">
      <c r="A2800" s="1" t="s">
        <v>2504</v>
      </c>
      <c r="B2800" s="1" t="str">
        <f>IFERROR(__xludf.DUMMYFUNCTION("GOOGLETRANSLATE(A2726, ""zh-CN"", ""en"")"),"Jilin Province")</f>
        <v>Jilin Province</v>
      </c>
      <c r="C2800" s="1" t="s">
        <v>2510</v>
      </c>
      <c r="D2800" s="1" t="str">
        <f>IFERROR(__xludf.DUMMYFUNCTION("GOOGLETRANSLATE(C2800, ""zh-CN"", ""en"")"),"Lijiang City")</f>
        <v>Lijiang City</v>
      </c>
      <c r="E2800" s="1" t="s">
        <v>2570</v>
      </c>
      <c r="F2800" s="1" t="str">
        <f>IFERROR(__xludf.DUMMYFUNCTION("GOOGLETRANSLATE(E2800, ""zh-CN"", ""en"")"),"Yulong Naxi Autonomous County")</f>
        <v>Yulong Naxi Autonomous County</v>
      </c>
      <c r="G2800" s="1">
        <v>5.30721E11</v>
      </c>
    </row>
    <row r="2801">
      <c r="A2801" s="1" t="s">
        <v>2504</v>
      </c>
      <c r="B2801" s="1" t="str">
        <f>IFERROR(__xludf.DUMMYFUNCTION("GOOGLETRANSLATE(A2727, ""zh-CN"", ""en"")"),"Jilin Province")</f>
        <v>Jilin Province</v>
      </c>
      <c r="C2801" s="1" t="s">
        <v>2510</v>
      </c>
      <c r="D2801" s="1" t="str">
        <f>IFERROR(__xludf.DUMMYFUNCTION("GOOGLETRANSLATE(C2801, ""zh-CN"", ""en"")"),"Lijiang City")</f>
        <v>Lijiang City</v>
      </c>
      <c r="E2801" s="1" t="s">
        <v>2571</v>
      </c>
      <c r="F2801" s="1" t="str">
        <f>IFERROR(__xludf.DUMMYFUNCTION("GOOGLETRANSLATE(E2801, ""zh-CN"", ""en"")"),"Yongsheng County")</f>
        <v>Yongsheng County</v>
      </c>
      <c r="G2801" s="1">
        <v>5.30722E11</v>
      </c>
    </row>
    <row r="2802">
      <c r="A2802" s="1" t="s">
        <v>2504</v>
      </c>
      <c r="B2802" s="1" t="str">
        <f>IFERROR(__xludf.DUMMYFUNCTION("GOOGLETRANSLATE(A2728, ""zh-CN"", ""en"")"),"Yunnan Province")</f>
        <v>Yunnan Province</v>
      </c>
      <c r="C2802" s="1" t="s">
        <v>2510</v>
      </c>
      <c r="D2802" s="1" t="str">
        <f>IFERROR(__xludf.DUMMYFUNCTION("GOOGLETRANSLATE(C2802, ""zh-CN"", ""en"")"),"Lijiang City")</f>
        <v>Lijiang City</v>
      </c>
      <c r="E2802" s="1" t="s">
        <v>2572</v>
      </c>
      <c r="F2802" s="1" t="str">
        <f>IFERROR(__xludf.DUMMYFUNCTION("GOOGLETRANSLATE(E2802, ""zh-CN"", ""en"")"),"Huaping County")</f>
        <v>Huaping County</v>
      </c>
      <c r="G2802" s="1">
        <v>5.30723E11</v>
      </c>
    </row>
    <row r="2803">
      <c r="A2803" s="1" t="s">
        <v>2504</v>
      </c>
      <c r="B2803" s="1" t="str">
        <f>IFERROR(__xludf.DUMMYFUNCTION("GOOGLETRANSLATE(A2729, ""zh-CN"", ""en"")"),"Yunnan Province")</f>
        <v>Yunnan Province</v>
      </c>
      <c r="C2803" s="1" t="s">
        <v>2510</v>
      </c>
      <c r="D2803" s="1" t="str">
        <f>IFERROR(__xludf.DUMMYFUNCTION("GOOGLETRANSLATE(C2803, ""zh-CN"", ""en"")"),"Lijiang City")</f>
        <v>Lijiang City</v>
      </c>
      <c r="E2803" s="1" t="s">
        <v>2573</v>
      </c>
      <c r="F2803" s="1" t="str">
        <f>IFERROR(__xludf.DUMMYFUNCTION("GOOGLETRANSLATE(E2803, ""zh-CN"", ""en"")"),"Ningyi Yi Autonomous County")</f>
        <v>Ningyi Yi Autonomous County</v>
      </c>
      <c r="G2803" s="1">
        <v>5.30724E11</v>
      </c>
    </row>
    <row r="2804">
      <c r="A2804" s="1" t="s">
        <v>2504</v>
      </c>
      <c r="B2804" s="1" t="str">
        <f>IFERROR(__xludf.DUMMYFUNCTION("GOOGLETRANSLATE(A2730, ""zh-CN"", ""en"")"),"Yunnan Province")</f>
        <v>Yunnan Province</v>
      </c>
      <c r="C2804" s="1" t="s">
        <v>2511</v>
      </c>
      <c r="D2804" s="1" t="str">
        <f>IFERROR(__xludf.DUMMYFUNCTION("GOOGLETRANSLATE(C2804, ""zh-CN"", ""en"")"),"Pu'er City")</f>
        <v>Pu'er City</v>
      </c>
      <c r="E2804" s="1" t="s">
        <v>24</v>
      </c>
      <c r="F2804" s="1" t="str">
        <f>IFERROR(__xludf.DUMMYFUNCTION("GOOGLETRANSLATE(E2804, ""zh-CN"", ""en"")"),"City area")</f>
        <v>City area</v>
      </c>
      <c r="G2804" s="1">
        <v>5.30801E11</v>
      </c>
    </row>
    <row r="2805">
      <c r="A2805" s="1" t="s">
        <v>2504</v>
      </c>
      <c r="B2805" s="1" t="str">
        <f>IFERROR(__xludf.DUMMYFUNCTION("GOOGLETRANSLATE(A2731, ""zh-CN"", ""en"")"),"Yunnan Province")</f>
        <v>Yunnan Province</v>
      </c>
      <c r="C2805" s="1" t="s">
        <v>2511</v>
      </c>
      <c r="D2805" s="1" t="str">
        <f>IFERROR(__xludf.DUMMYFUNCTION("GOOGLETRANSLATE(C2805, ""zh-CN"", ""en"")"),"Pu'er City")</f>
        <v>Pu'er City</v>
      </c>
      <c r="E2805" s="1" t="s">
        <v>2574</v>
      </c>
      <c r="F2805" s="1" t="str">
        <f>IFERROR(__xludf.DUMMYFUNCTION("GOOGLETRANSLATE(E2805, ""zh-CN"", ""en"")"),"Simao District")</f>
        <v>Simao District</v>
      </c>
      <c r="G2805" s="1">
        <v>5.30802E11</v>
      </c>
    </row>
    <row r="2806">
      <c r="A2806" s="1" t="s">
        <v>2504</v>
      </c>
      <c r="B2806" s="1" t="str">
        <f>IFERROR(__xludf.DUMMYFUNCTION("GOOGLETRANSLATE(A2732, ""zh-CN"", ""en"")"),"Yunnan Province")</f>
        <v>Yunnan Province</v>
      </c>
      <c r="C2806" s="1" t="s">
        <v>2511</v>
      </c>
      <c r="D2806" s="1" t="str">
        <f>IFERROR(__xludf.DUMMYFUNCTION("GOOGLETRANSLATE(C2806, ""zh-CN"", ""en"")"),"Pu'er City")</f>
        <v>Pu'er City</v>
      </c>
      <c r="E2806" s="1" t="s">
        <v>2575</v>
      </c>
      <c r="F2806" s="1" t="str">
        <f>IFERROR(__xludf.DUMMYFUNCTION("GOOGLETRANSLATE(E2806, ""zh-CN"", ""en"")"),"Ning'erhani, Yi Autonomous County")</f>
        <v>Ning'erhani, Yi Autonomous County</v>
      </c>
      <c r="G2806" s="1">
        <v>5.30821E11</v>
      </c>
    </row>
    <row r="2807">
      <c r="A2807" s="1" t="s">
        <v>2504</v>
      </c>
      <c r="B2807" s="1" t="str">
        <f>IFERROR(__xludf.DUMMYFUNCTION("GOOGLETRANSLATE(A2733, ""zh-CN"", ""en"")"),"Yunnan Province")</f>
        <v>Yunnan Province</v>
      </c>
      <c r="C2807" s="1" t="s">
        <v>2511</v>
      </c>
      <c r="D2807" s="1" t="str">
        <f>IFERROR(__xludf.DUMMYFUNCTION("GOOGLETRANSLATE(C2807, ""zh-CN"", ""en"")"),"Pu'er City")</f>
        <v>Pu'er City</v>
      </c>
      <c r="E2807" s="1" t="s">
        <v>2576</v>
      </c>
      <c r="F2807" s="1" t="str">
        <f>IFERROR(__xludf.DUMMYFUNCTION("GOOGLETRANSLATE(E2807, ""zh-CN"", ""en"")"),"Mojiang Hani Autonomous County")</f>
        <v>Mojiang Hani Autonomous County</v>
      </c>
      <c r="G2807" s="1">
        <v>5.30822E11</v>
      </c>
    </row>
    <row r="2808">
      <c r="A2808" s="1" t="s">
        <v>2504</v>
      </c>
      <c r="B2808" s="1" t="str">
        <f>IFERROR(__xludf.DUMMYFUNCTION("GOOGLETRANSLATE(A2734, ""zh-CN"", ""en"")"),"Yunnan Province")</f>
        <v>Yunnan Province</v>
      </c>
      <c r="C2808" s="1" t="s">
        <v>2511</v>
      </c>
      <c r="D2808" s="1" t="str">
        <f>IFERROR(__xludf.DUMMYFUNCTION("GOOGLETRANSLATE(C2808, ""zh-CN"", ""en"")"),"Pu'er City")</f>
        <v>Pu'er City</v>
      </c>
      <c r="E2808" s="1" t="s">
        <v>2577</v>
      </c>
      <c r="F2808" s="1" t="str">
        <f>IFERROR(__xludf.DUMMYFUNCTION("GOOGLETRANSLATE(E2808, ""zh-CN"", ""en"")"),"Jingdong Yi Autonomous County")</f>
        <v>Jingdong Yi Autonomous County</v>
      </c>
      <c r="G2808" s="1">
        <v>5.30823E11</v>
      </c>
    </row>
    <row r="2809">
      <c r="A2809" s="1" t="s">
        <v>2504</v>
      </c>
      <c r="B2809" s="1" t="str">
        <f>IFERROR(__xludf.DUMMYFUNCTION("GOOGLETRANSLATE(A2735, ""zh-CN"", ""en"")"),"Yunnan Province")</f>
        <v>Yunnan Province</v>
      </c>
      <c r="C2809" s="1" t="s">
        <v>2511</v>
      </c>
      <c r="D2809" s="1" t="str">
        <f>IFERROR(__xludf.DUMMYFUNCTION("GOOGLETRANSLATE(C2809, ""zh-CN"", ""en"")"),"Pu'er City")</f>
        <v>Pu'er City</v>
      </c>
      <c r="E2809" s="1" t="s">
        <v>2578</v>
      </c>
      <c r="F2809" s="1" t="str">
        <f>IFERROR(__xludf.DUMMYFUNCTION("GOOGLETRANSLATE(E2809, ""zh-CN"", ""en"")"),"Jinggu Dai and Yi Autonomous County")</f>
        <v>Jinggu Dai and Yi Autonomous County</v>
      </c>
      <c r="G2809" s="1">
        <v>5.30824E11</v>
      </c>
    </row>
    <row r="2810">
      <c r="A2810" s="1" t="s">
        <v>2504</v>
      </c>
      <c r="B2810" s="1" t="str">
        <f>IFERROR(__xludf.DUMMYFUNCTION("GOOGLETRANSLATE(A2736, ""zh-CN"", ""en"")"),"Yunnan Province")</f>
        <v>Yunnan Province</v>
      </c>
      <c r="C2810" s="1" t="s">
        <v>2511</v>
      </c>
      <c r="D2810" s="1" t="str">
        <f>IFERROR(__xludf.DUMMYFUNCTION("GOOGLETRANSLATE(C2810, ""zh-CN"", ""en"")"),"Pu'er City")</f>
        <v>Pu'er City</v>
      </c>
      <c r="E2810" s="1" t="s">
        <v>2579</v>
      </c>
      <c r="F2810" s="1" t="str">
        <f>IFERROR(__xludf.DUMMYFUNCTION("GOOGLETRANSLATE(E2810, ""zh-CN"", ""en"")"),"Zhenzhang Yi Hani Hani Raju Autonomous County")</f>
        <v>Zhenzhang Yi Hani Hani Raju Autonomous County</v>
      </c>
      <c r="G2810" s="1">
        <v>5.30825E11</v>
      </c>
    </row>
    <row r="2811">
      <c r="A2811" s="1" t="s">
        <v>2504</v>
      </c>
      <c r="B2811" s="1" t="str">
        <f>IFERROR(__xludf.DUMMYFUNCTION("GOOGLETRANSLATE(A2737, ""zh-CN"", ""en"")"),"Yunnan Province")</f>
        <v>Yunnan Province</v>
      </c>
      <c r="C2811" s="1" t="s">
        <v>2511</v>
      </c>
      <c r="D2811" s="1" t="str">
        <f>IFERROR(__xludf.DUMMYFUNCTION("GOOGLETRANSLATE(C2811, ""zh-CN"", ""en"")"),"Pu'er City")</f>
        <v>Pu'er City</v>
      </c>
      <c r="E2811" s="1" t="s">
        <v>2580</v>
      </c>
      <c r="F2811" s="1" t="str">
        <f>IFERROR(__xludf.DUMMYFUNCTION("GOOGLETRANSLATE(E2811, ""zh-CN"", ""en"")"),"Jiangcheng Hani and Yi Autonomous County")</f>
        <v>Jiangcheng Hani and Yi Autonomous County</v>
      </c>
      <c r="G2811" s="1">
        <v>5.30826E11</v>
      </c>
    </row>
    <row r="2812">
      <c r="A2812" s="1" t="s">
        <v>2504</v>
      </c>
      <c r="B2812" s="1" t="str">
        <f>IFERROR(__xludf.DUMMYFUNCTION("GOOGLETRANSLATE(A2738, ""zh-CN"", ""en"")"),"Yunnan Province")</f>
        <v>Yunnan Province</v>
      </c>
      <c r="C2812" s="1" t="s">
        <v>2511</v>
      </c>
      <c r="D2812" s="1" t="str">
        <f>IFERROR(__xludf.DUMMYFUNCTION("GOOGLETRANSLATE(C2812, ""zh-CN"", ""en"")"),"Pu'er City")</f>
        <v>Pu'er City</v>
      </c>
      <c r="E2812" s="1" t="s">
        <v>2581</v>
      </c>
      <c r="F2812" s="1" t="str">
        <f>IFERROR(__xludf.DUMMYFUNCTION("GOOGLETRANSLATE(E2812, ""zh-CN"", ""en"")"),"Menglian Dai Labu La La Tusheng Autonomous County")</f>
        <v>Menglian Dai Labu La La Tusheng Autonomous County</v>
      </c>
      <c r="G2812" s="1">
        <v>5.30827E11</v>
      </c>
    </row>
    <row r="2813">
      <c r="A2813" s="1" t="s">
        <v>2504</v>
      </c>
      <c r="B2813" s="1" t="str">
        <f>IFERROR(__xludf.DUMMYFUNCTION("GOOGLETRANSLATE(A2739, ""zh-CN"", ""en"")"),"Yunnan Province")</f>
        <v>Yunnan Province</v>
      </c>
      <c r="C2813" s="1" t="s">
        <v>2511</v>
      </c>
      <c r="D2813" s="1" t="str">
        <f>IFERROR(__xludf.DUMMYFUNCTION("GOOGLETRANSLATE(C2813, ""zh-CN"", ""en"")"),"Pu'er City")</f>
        <v>Pu'er City</v>
      </c>
      <c r="E2813" s="1" t="s">
        <v>2582</v>
      </c>
      <c r="F2813" s="1" t="str">
        <f>IFERROR(__xludf.DUMMYFUNCTION("GOOGLETRANSLATE(E2813, ""zh-CN"", ""en"")"),"Lancang La Ling Autonomous County")</f>
        <v>Lancang La Ling Autonomous County</v>
      </c>
      <c r="G2813" s="1">
        <v>5.30828E11</v>
      </c>
    </row>
    <row r="2814">
      <c r="A2814" s="1" t="s">
        <v>2504</v>
      </c>
      <c r="B2814" s="1" t="str">
        <f>IFERROR(__xludf.DUMMYFUNCTION("GOOGLETRANSLATE(A2740, ""zh-CN"", ""en"")"),"Yunnan Province")</f>
        <v>Yunnan Province</v>
      </c>
      <c r="C2814" s="1" t="s">
        <v>2511</v>
      </c>
      <c r="D2814" s="1" t="str">
        <f>IFERROR(__xludf.DUMMYFUNCTION("GOOGLETRANSLATE(C2814, ""zh-CN"", ""en"")"),"Pu'er City")</f>
        <v>Pu'er City</v>
      </c>
      <c r="E2814" s="1" t="s">
        <v>2583</v>
      </c>
      <c r="F2814" s="1" t="str">
        <f>IFERROR(__xludf.DUMMYFUNCTION("GOOGLETRANSLATE(E2814, ""zh-CN"", ""en"")"),"Western Union Langu Autonomous County")</f>
        <v>Western Union Langu Autonomous County</v>
      </c>
      <c r="G2814" s="1">
        <v>5.30829E11</v>
      </c>
    </row>
    <row r="2815">
      <c r="A2815" s="1" t="s">
        <v>2504</v>
      </c>
      <c r="B2815" s="1" t="str">
        <f>IFERROR(__xludf.DUMMYFUNCTION("GOOGLETRANSLATE(A2741, ""zh-CN"", ""en"")"),"Yunnan Province")</f>
        <v>Yunnan Province</v>
      </c>
      <c r="C2815" s="1" t="s">
        <v>2512</v>
      </c>
      <c r="D2815" s="1" t="str">
        <f>IFERROR(__xludf.DUMMYFUNCTION("GOOGLETRANSLATE(C2815, ""zh-CN"", ""en"")"),"Lincang City")</f>
        <v>Lincang City</v>
      </c>
      <c r="E2815" s="1" t="s">
        <v>24</v>
      </c>
      <c r="F2815" s="1" t="str">
        <f>IFERROR(__xludf.DUMMYFUNCTION("GOOGLETRANSLATE(E2815, ""zh-CN"", ""en"")"),"City area")</f>
        <v>City area</v>
      </c>
      <c r="G2815" s="1">
        <v>5.30901E11</v>
      </c>
    </row>
    <row r="2816">
      <c r="A2816" s="1" t="s">
        <v>2504</v>
      </c>
      <c r="B2816" s="1" t="str">
        <f>IFERROR(__xludf.DUMMYFUNCTION("GOOGLETRANSLATE(A2742, ""zh-CN"", ""en"")"),"Yunnan Province")</f>
        <v>Yunnan Province</v>
      </c>
      <c r="C2816" s="1" t="s">
        <v>2512</v>
      </c>
      <c r="D2816" s="1" t="str">
        <f>IFERROR(__xludf.DUMMYFUNCTION("GOOGLETRANSLATE(C2816, ""zh-CN"", ""en"")"),"Lincang City")</f>
        <v>Lincang City</v>
      </c>
      <c r="E2816" s="1" t="s">
        <v>2584</v>
      </c>
      <c r="F2816" s="1" t="str">
        <f>IFERROR(__xludf.DUMMYFUNCTION("GOOGLETRANSLATE(E2816, ""zh-CN"", ""en"")"),"Linxiang District")</f>
        <v>Linxiang District</v>
      </c>
      <c r="G2816" s="1">
        <v>5.30902E11</v>
      </c>
    </row>
    <row r="2817">
      <c r="A2817" s="1" t="s">
        <v>2504</v>
      </c>
      <c r="B2817" s="1" t="str">
        <f>IFERROR(__xludf.DUMMYFUNCTION("GOOGLETRANSLATE(A2743, ""zh-CN"", ""en"")"),"Yunnan Province")</f>
        <v>Yunnan Province</v>
      </c>
      <c r="C2817" s="1" t="s">
        <v>2512</v>
      </c>
      <c r="D2817" s="1" t="str">
        <f>IFERROR(__xludf.DUMMYFUNCTION("GOOGLETRANSLATE(C2817, ""zh-CN"", ""en"")"),"Lincang City")</f>
        <v>Lincang City</v>
      </c>
      <c r="E2817" s="1" t="s">
        <v>2585</v>
      </c>
      <c r="F2817" s="1" t="str">
        <f>IFERROR(__xludf.DUMMYFUNCTION("GOOGLETRANSLATE(E2817, ""zh-CN"", ""en"")"),"Fengqing County")</f>
        <v>Fengqing County</v>
      </c>
      <c r="G2817" s="1">
        <v>5.30921E11</v>
      </c>
    </row>
    <row r="2818">
      <c r="A2818" s="1" t="s">
        <v>2504</v>
      </c>
      <c r="B2818" s="1" t="str">
        <f>IFERROR(__xludf.DUMMYFUNCTION("GOOGLETRANSLATE(A2744, ""zh-CN"", ""en"")"),"Yunnan Province")</f>
        <v>Yunnan Province</v>
      </c>
      <c r="C2818" s="1" t="s">
        <v>2512</v>
      </c>
      <c r="D2818" s="1" t="str">
        <f>IFERROR(__xludf.DUMMYFUNCTION("GOOGLETRANSLATE(C2818, ""zh-CN"", ""en"")"),"Lincang City")</f>
        <v>Lincang City</v>
      </c>
      <c r="E2818" s="1" t="s">
        <v>2586</v>
      </c>
      <c r="F2818" s="1" t="str">
        <f>IFERROR(__xludf.DUMMYFUNCTION("GOOGLETRANSLATE(E2818, ""zh-CN"", ""en"")"),"Yunxian")</f>
        <v>Yunxian</v>
      </c>
      <c r="G2818" s="1">
        <v>5.30922E11</v>
      </c>
    </row>
    <row r="2819">
      <c r="A2819" s="1" t="s">
        <v>2504</v>
      </c>
      <c r="B2819" s="1" t="str">
        <f>IFERROR(__xludf.DUMMYFUNCTION("GOOGLETRANSLATE(A2745, ""zh-CN"", ""en"")"),"Yunnan Province")</f>
        <v>Yunnan Province</v>
      </c>
      <c r="C2819" s="1" t="s">
        <v>2512</v>
      </c>
      <c r="D2819" s="1" t="str">
        <f>IFERROR(__xludf.DUMMYFUNCTION("GOOGLETRANSLATE(C2819, ""zh-CN"", ""en"")"),"Lincang City")</f>
        <v>Lincang City</v>
      </c>
      <c r="E2819" s="1" t="s">
        <v>2587</v>
      </c>
      <c r="F2819" s="1" t="str">
        <f>IFERROR(__xludf.DUMMYFUNCTION("GOOGLETRANSLATE(E2819, ""zh-CN"", ""en"")"),"Yongde County")</f>
        <v>Yongde County</v>
      </c>
      <c r="G2819" s="1">
        <v>5.30923E11</v>
      </c>
    </row>
    <row r="2820">
      <c r="A2820" s="1" t="s">
        <v>2504</v>
      </c>
      <c r="B2820" s="1" t="str">
        <f>IFERROR(__xludf.DUMMYFUNCTION("GOOGLETRANSLATE(A2746, ""zh-CN"", ""en"")"),"Yunnan Province")</f>
        <v>Yunnan Province</v>
      </c>
      <c r="C2820" s="1" t="s">
        <v>2512</v>
      </c>
      <c r="D2820" s="1" t="str">
        <f>IFERROR(__xludf.DUMMYFUNCTION("GOOGLETRANSLATE(C2820, ""zh-CN"", ""en"")"),"Lincang City")</f>
        <v>Lincang City</v>
      </c>
      <c r="E2820" s="1" t="s">
        <v>2588</v>
      </c>
      <c r="F2820" s="1" t="str">
        <f>IFERROR(__xludf.DUMMYFUNCTION("GOOGLETRANSLATE(E2820, ""zh-CN"", ""en"")"),"Zhenkang County")</f>
        <v>Zhenkang County</v>
      </c>
      <c r="G2820" s="1">
        <v>5.30924E11</v>
      </c>
    </row>
    <row r="2821">
      <c r="A2821" s="1" t="s">
        <v>2504</v>
      </c>
      <c r="B2821" s="1" t="str">
        <f>IFERROR(__xludf.DUMMYFUNCTION("GOOGLETRANSLATE(A2747, ""zh-CN"", ""en"")"),"Yunnan Province")</f>
        <v>Yunnan Province</v>
      </c>
      <c r="C2821" s="1" t="s">
        <v>2512</v>
      </c>
      <c r="D2821" s="1" t="str">
        <f>IFERROR(__xludf.DUMMYFUNCTION("GOOGLETRANSLATE(C2821, ""zh-CN"", ""en"")"),"Lincang City")</f>
        <v>Lincang City</v>
      </c>
      <c r="E2821" s="1" t="s">
        <v>2589</v>
      </c>
      <c r="F2821" s="1" t="str">
        <f>IFERROR(__xludf.DUMMYFUNCTION("GOOGLETRANSLATE(E2821, ""zh-CN"", ""en"")"),"Shuangjiang Laju, the Dai Dai Autonomous County")</f>
        <v>Shuangjiang Laju, the Dai Dai Autonomous County</v>
      </c>
      <c r="G2821" s="1">
        <v>5.30925E11</v>
      </c>
    </row>
    <row r="2822">
      <c r="A2822" s="1" t="s">
        <v>2504</v>
      </c>
      <c r="B2822" s="1" t="str">
        <f>IFERROR(__xludf.DUMMYFUNCTION("GOOGLETRANSLATE(A2748, ""zh-CN"", ""en"")"),"Yunnan Province")</f>
        <v>Yunnan Province</v>
      </c>
      <c r="C2822" s="1" t="s">
        <v>2512</v>
      </c>
      <c r="D2822" s="1" t="str">
        <f>IFERROR(__xludf.DUMMYFUNCTION("GOOGLETRANSLATE(C2822, ""zh-CN"", ""en"")"),"Lincang City")</f>
        <v>Lincang City</v>
      </c>
      <c r="E2822" s="1" t="s">
        <v>2590</v>
      </c>
      <c r="F2822" s="1" t="str">
        <f>IFERROR(__xludf.DUMMYFUNCTION("GOOGLETRANSLATE(E2822, ""zh-CN"", ""en"")"),"Gengma Dai Tuban Autonomous County")</f>
        <v>Gengma Dai Tuban Autonomous County</v>
      </c>
      <c r="G2822" s="1">
        <v>5.30926E11</v>
      </c>
    </row>
    <row r="2823">
      <c r="A2823" s="1" t="s">
        <v>2504</v>
      </c>
      <c r="B2823" s="1" t="str">
        <f>IFERROR(__xludf.DUMMYFUNCTION("GOOGLETRANSLATE(A2749, ""zh-CN"", ""en"")"),"Yunnan Province")</f>
        <v>Yunnan Province</v>
      </c>
      <c r="C2823" s="1" t="s">
        <v>2512</v>
      </c>
      <c r="D2823" s="1" t="str">
        <f>IFERROR(__xludf.DUMMYFUNCTION("GOOGLETRANSLATE(C2823, ""zh-CN"", ""en"")"),"Lincang City")</f>
        <v>Lincang City</v>
      </c>
      <c r="E2823" s="1" t="s">
        <v>2591</v>
      </c>
      <c r="F2823" s="1" t="str">
        <f>IFERROR(__xludf.DUMMYFUNCTION("GOOGLETRANSLATE(E2823, ""zh-CN"", ""en"")"),"Cangyuan Qi Autonomous County")</f>
        <v>Cangyuan Qi Autonomous County</v>
      </c>
      <c r="G2823" s="1">
        <v>5.30927E11</v>
      </c>
    </row>
    <row r="2824">
      <c r="A2824" s="1" t="s">
        <v>2504</v>
      </c>
      <c r="B2824" s="1" t="str">
        <f>IFERROR(__xludf.DUMMYFUNCTION("GOOGLETRANSLATE(A2750, ""zh-CN"", ""en"")"),"Yunnan Province")</f>
        <v>Yunnan Province</v>
      </c>
      <c r="C2824" s="1" t="s">
        <v>2513</v>
      </c>
      <c r="D2824" s="1" t="str">
        <f>IFERROR(__xludf.DUMMYFUNCTION("GOOGLETRANSLATE(C2824, ""zh-CN"", ""en"")"),"Chuxiong Yi Autonomous Prefecture")</f>
        <v>Chuxiong Yi Autonomous Prefecture</v>
      </c>
      <c r="E2824" s="1" t="s">
        <v>2592</v>
      </c>
      <c r="F2824" s="1" t="str">
        <f>IFERROR(__xludf.DUMMYFUNCTION("GOOGLETRANSLATE(E2824, ""zh-CN"", ""en"")"),"Chuxiong City")</f>
        <v>Chuxiong City</v>
      </c>
      <c r="G2824" s="1">
        <v>5.32301E11</v>
      </c>
    </row>
    <row r="2825">
      <c r="A2825" s="1" t="s">
        <v>2504</v>
      </c>
      <c r="B2825" s="1" t="str">
        <f>IFERROR(__xludf.DUMMYFUNCTION("GOOGLETRANSLATE(A2751, ""zh-CN"", ""en"")"),"Yunnan Province")</f>
        <v>Yunnan Province</v>
      </c>
      <c r="C2825" s="1" t="s">
        <v>2513</v>
      </c>
      <c r="D2825" s="1" t="str">
        <f>IFERROR(__xludf.DUMMYFUNCTION("GOOGLETRANSLATE(C2825, ""zh-CN"", ""en"")"),"Chuxiong Yi Autonomous Prefecture")</f>
        <v>Chuxiong Yi Autonomous Prefecture</v>
      </c>
      <c r="E2825" s="1" t="s">
        <v>2593</v>
      </c>
      <c r="F2825" s="1" t="str">
        <f>IFERROR(__xludf.DUMMYFUNCTION("GOOGLETRANSLATE(E2825, ""zh-CN"", ""en"")"),"Lufeng City")</f>
        <v>Lufeng City</v>
      </c>
      <c r="G2825" s="1">
        <v>5.32302E11</v>
      </c>
    </row>
    <row r="2826">
      <c r="A2826" s="1" t="s">
        <v>2504</v>
      </c>
      <c r="B2826" s="1" t="str">
        <f>IFERROR(__xludf.DUMMYFUNCTION("GOOGLETRANSLATE(A2752, ""zh-CN"", ""en"")"),"Yunnan Province")</f>
        <v>Yunnan Province</v>
      </c>
      <c r="C2826" s="1" t="s">
        <v>2513</v>
      </c>
      <c r="D2826" s="1" t="str">
        <f>IFERROR(__xludf.DUMMYFUNCTION("GOOGLETRANSLATE(C2826, ""zh-CN"", ""en"")"),"Chuxiong Yi Autonomous Prefecture")</f>
        <v>Chuxiong Yi Autonomous Prefecture</v>
      </c>
      <c r="E2826" s="1" t="s">
        <v>2594</v>
      </c>
      <c r="F2826" s="1" t="str">
        <f>IFERROR(__xludf.DUMMYFUNCTION("GOOGLETRANSLATE(E2826, ""zh-CN"", ""en"")"),"Shuangbai County")</f>
        <v>Shuangbai County</v>
      </c>
      <c r="G2826" s="1">
        <v>5.32322E11</v>
      </c>
    </row>
    <row r="2827">
      <c r="A2827" s="1" t="s">
        <v>2504</v>
      </c>
      <c r="B2827" s="1" t="str">
        <f>IFERROR(__xludf.DUMMYFUNCTION("GOOGLETRANSLATE(A2753, ""zh-CN"", ""en"")"),"Yunnan Province")</f>
        <v>Yunnan Province</v>
      </c>
      <c r="C2827" s="1" t="s">
        <v>2513</v>
      </c>
      <c r="D2827" s="1" t="str">
        <f>IFERROR(__xludf.DUMMYFUNCTION("GOOGLETRANSLATE(C2827, ""zh-CN"", ""en"")"),"Chuxiong Yi Autonomous Prefecture")</f>
        <v>Chuxiong Yi Autonomous Prefecture</v>
      </c>
      <c r="E2827" s="1" t="s">
        <v>2595</v>
      </c>
      <c r="F2827" s="1" t="str">
        <f>IFERROR(__xludf.DUMMYFUNCTION("GOOGLETRANSLATE(E2827, ""zh-CN"", ""en"")"),"Mouding County")</f>
        <v>Mouding County</v>
      </c>
      <c r="G2827" s="1">
        <v>5.32323E11</v>
      </c>
    </row>
    <row r="2828">
      <c r="A2828" s="1" t="s">
        <v>2504</v>
      </c>
      <c r="B2828" s="1" t="str">
        <f>IFERROR(__xludf.DUMMYFUNCTION("GOOGLETRANSLATE(A2754, ""zh-CN"", ""en"")"),"Yunnan Province")</f>
        <v>Yunnan Province</v>
      </c>
      <c r="C2828" s="1" t="s">
        <v>2513</v>
      </c>
      <c r="D2828" s="1" t="str">
        <f>IFERROR(__xludf.DUMMYFUNCTION("GOOGLETRANSLATE(C2828, ""zh-CN"", ""en"")"),"Chuxiong Yi Autonomous Prefecture")</f>
        <v>Chuxiong Yi Autonomous Prefecture</v>
      </c>
      <c r="E2828" s="1" t="s">
        <v>2596</v>
      </c>
      <c r="F2828" s="1" t="str">
        <f>IFERROR(__xludf.DUMMYFUNCTION("GOOGLETRANSLATE(E2828, ""zh-CN"", ""en"")"),"Nanhua County")</f>
        <v>Nanhua County</v>
      </c>
      <c r="G2828" s="1">
        <v>5.32324E11</v>
      </c>
    </row>
    <row r="2829">
      <c r="A2829" s="1" t="s">
        <v>2504</v>
      </c>
      <c r="B2829" s="1" t="str">
        <f>IFERROR(__xludf.DUMMYFUNCTION("GOOGLETRANSLATE(A2755, ""zh-CN"", ""en"")"),"Yunnan Province")</f>
        <v>Yunnan Province</v>
      </c>
      <c r="C2829" s="1" t="s">
        <v>2513</v>
      </c>
      <c r="D2829" s="1" t="str">
        <f>IFERROR(__xludf.DUMMYFUNCTION("GOOGLETRANSLATE(C2829, ""zh-CN"", ""en"")"),"Chuxiong Yi Autonomous Prefecture")</f>
        <v>Chuxiong Yi Autonomous Prefecture</v>
      </c>
      <c r="E2829" s="1" t="s">
        <v>2597</v>
      </c>
      <c r="F2829" s="1" t="str">
        <f>IFERROR(__xludf.DUMMYFUNCTION("GOOGLETRANSLATE(E2829, ""zh-CN"", ""en"")"),"Yao'an County")</f>
        <v>Yao'an County</v>
      </c>
      <c r="G2829" s="1">
        <v>5.32325E11</v>
      </c>
    </row>
    <row r="2830">
      <c r="A2830" s="1" t="s">
        <v>2504</v>
      </c>
      <c r="B2830" s="1" t="str">
        <f>IFERROR(__xludf.DUMMYFUNCTION("GOOGLETRANSLATE(A2756, ""zh-CN"", ""en"")"),"Yunnan Province")</f>
        <v>Yunnan Province</v>
      </c>
      <c r="C2830" s="1" t="s">
        <v>2513</v>
      </c>
      <c r="D2830" s="1" t="str">
        <f>IFERROR(__xludf.DUMMYFUNCTION("GOOGLETRANSLATE(C2830, ""zh-CN"", ""en"")"),"Chuxiong Yi Autonomous Prefecture")</f>
        <v>Chuxiong Yi Autonomous Prefecture</v>
      </c>
      <c r="E2830" s="1" t="s">
        <v>2598</v>
      </c>
      <c r="F2830" s="1" t="str">
        <f>IFERROR(__xludf.DUMMYFUNCTION("GOOGLETRANSLATE(E2830, ""zh-CN"", ""en"")"),"Dayao County")</f>
        <v>Dayao County</v>
      </c>
      <c r="G2830" s="1">
        <v>5.32326E11</v>
      </c>
    </row>
    <row r="2831">
      <c r="A2831" s="1" t="s">
        <v>2504</v>
      </c>
      <c r="B2831" s="1" t="str">
        <f>IFERROR(__xludf.DUMMYFUNCTION("GOOGLETRANSLATE(A2757, ""zh-CN"", ""en"")"),"Yunnan Province")</f>
        <v>Yunnan Province</v>
      </c>
      <c r="C2831" s="1" t="s">
        <v>2513</v>
      </c>
      <c r="D2831" s="1" t="str">
        <f>IFERROR(__xludf.DUMMYFUNCTION("GOOGLETRANSLATE(C2831, ""zh-CN"", ""en"")"),"Chuxiong Yi Autonomous Prefecture")</f>
        <v>Chuxiong Yi Autonomous Prefecture</v>
      </c>
      <c r="E2831" s="1" t="s">
        <v>2599</v>
      </c>
      <c r="F2831" s="1" t="str">
        <f>IFERROR(__xludf.DUMMYFUNCTION("GOOGLETRANSLATE(E2831, ""zh-CN"", ""en"")"),"Yongren County")</f>
        <v>Yongren County</v>
      </c>
      <c r="G2831" s="1">
        <v>5.32327E11</v>
      </c>
    </row>
    <row r="2832">
      <c r="A2832" s="1" t="s">
        <v>2504</v>
      </c>
      <c r="B2832" s="1" t="str">
        <f>IFERROR(__xludf.DUMMYFUNCTION("GOOGLETRANSLATE(A2758, ""zh-CN"", ""en"")"),"Yunnan Province")</f>
        <v>Yunnan Province</v>
      </c>
      <c r="C2832" s="1" t="s">
        <v>2513</v>
      </c>
      <c r="D2832" s="1" t="str">
        <f>IFERROR(__xludf.DUMMYFUNCTION("GOOGLETRANSLATE(C2832, ""zh-CN"", ""en"")"),"Chuxiong Yi Autonomous Prefecture")</f>
        <v>Chuxiong Yi Autonomous Prefecture</v>
      </c>
      <c r="E2832" s="1" t="s">
        <v>2600</v>
      </c>
      <c r="F2832" s="1" t="str">
        <f>IFERROR(__xludf.DUMMYFUNCTION("GOOGLETRANSLATE(E2832, ""zh-CN"", ""en"")"),"Yuanmou County")</f>
        <v>Yuanmou County</v>
      </c>
      <c r="G2832" s="1">
        <v>5.32328E11</v>
      </c>
    </row>
    <row r="2833">
      <c r="A2833" s="1" t="s">
        <v>2504</v>
      </c>
      <c r="B2833" s="1" t="str">
        <f>IFERROR(__xludf.DUMMYFUNCTION("GOOGLETRANSLATE(A2759, ""zh-CN"", ""en"")"),"Yunnan Province")</f>
        <v>Yunnan Province</v>
      </c>
      <c r="C2833" s="1" t="s">
        <v>2513</v>
      </c>
      <c r="D2833" s="1" t="str">
        <f>IFERROR(__xludf.DUMMYFUNCTION("GOOGLETRANSLATE(C2833, ""zh-CN"", ""en"")"),"Chuxiong Yi Autonomous Prefecture")</f>
        <v>Chuxiong Yi Autonomous Prefecture</v>
      </c>
      <c r="E2833" s="1" t="s">
        <v>2601</v>
      </c>
      <c r="F2833" s="1" t="str">
        <f>IFERROR(__xludf.DUMMYFUNCTION("GOOGLETRANSLATE(E2833, ""zh-CN"", ""en"")"),"Wuding County")</f>
        <v>Wuding County</v>
      </c>
      <c r="G2833" s="1">
        <v>5.32329E11</v>
      </c>
    </row>
    <row r="2834">
      <c r="A2834" s="1" t="s">
        <v>2504</v>
      </c>
      <c r="B2834" s="1" t="str">
        <f>IFERROR(__xludf.DUMMYFUNCTION("GOOGLETRANSLATE(A2760, ""zh-CN"", ""en"")"),"Yunnan Province")</f>
        <v>Yunnan Province</v>
      </c>
      <c r="C2834" s="1" t="s">
        <v>2514</v>
      </c>
      <c r="D2834" s="1" t="str">
        <f>IFERROR(__xludf.DUMMYFUNCTION("GOOGLETRANSLATE(C2834, ""zh-CN"", ""en"")"),"Honghehani Hani Yi Autonomous Prefecture")</f>
        <v>Honghehani Hani Yi Autonomous Prefecture</v>
      </c>
      <c r="E2834" s="1" t="s">
        <v>2602</v>
      </c>
      <c r="F2834" s="1" t="str">
        <f>IFERROR(__xludf.DUMMYFUNCTION("GOOGLETRANSLATE(E2834, ""zh-CN"", ""en"")"),"Old city")</f>
        <v>Old city</v>
      </c>
      <c r="G2834" s="1">
        <v>5.32501E11</v>
      </c>
    </row>
    <row r="2835">
      <c r="A2835" s="1" t="s">
        <v>2504</v>
      </c>
      <c r="B2835" s="1" t="str">
        <f>IFERROR(__xludf.DUMMYFUNCTION("GOOGLETRANSLATE(A2761, ""zh-CN"", ""en"")"),"Yunnan Province")</f>
        <v>Yunnan Province</v>
      </c>
      <c r="C2835" s="1" t="s">
        <v>2514</v>
      </c>
      <c r="D2835" s="1" t="str">
        <f>IFERROR(__xludf.DUMMYFUNCTION("GOOGLETRANSLATE(C2835, ""zh-CN"", ""en"")"),"Honghehani Hani Yi Autonomous Prefecture")</f>
        <v>Honghehani Hani Yi Autonomous Prefecture</v>
      </c>
      <c r="E2835" s="1" t="s">
        <v>2603</v>
      </c>
      <c r="F2835" s="1" t="str">
        <f>IFERROR(__xludf.DUMMYFUNCTION("GOOGLETRANSLATE(E2835, ""zh-CN"", ""en"")"),"Kaiyuan City")</f>
        <v>Kaiyuan City</v>
      </c>
      <c r="G2835" s="1">
        <v>5.32502E11</v>
      </c>
    </row>
    <row r="2836">
      <c r="A2836" s="1" t="s">
        <v>2504</v>
      </c>
      <c r="B2836" s="1" t="str">
        <f>IFERROR(__xludf.DUMMYFUNCTION("GOOGLETRANSLATE(A2762, ""zh-CN"", ""en"")"),"Yunnan Province")</f>
        <v>Yunnan Province</v>
      </c>
      <c r="C2836" s="1" t="s">
        <v>2514</v>
      </c>
      <c r="D2836" s="1" t="str">
        <f>IFERROR(__xludf.DUMMYFUNCTION("GOOGLETRANSLATE(C2836, ""zh-CN"", ""en"")"),"Honghehani Hani Yi Autonomous Prefecture")</f>
        <v>Honghehani Hani Yi Autonomous Prefecture</v>
      </c>
      <c r="E2836" s="1" t="s">
        <v>2604</v>
      </c>
      <c r="F2836" s="1" t="str">
        <f>IFERROR(__xludf.DUMMYFUNCTION("GOOGLETRANSLATE(E2836, ""zh-CN"", ""en"")"),"Montzi City")</f>
        <v>Montzi City</v>
      </c>
      <c r="G2836" s="1">
        <v>5.32503E11</v>
      </c>
    </row>
    <row r="2837">
      <c r="A2837" s="1" t="s">
        <v>2504</v>
      </c>
      <c r="B2837" s="1" t="str">
        <f>IFERROR(__xludf.DUMMYFUNCTION("GOOGLETRANSLATE(A2763, ""zh-CN"", ""en"")"),"Yunnan Province")</f>
        <v>Yunnan Province</v>
      </c>
      <c r="C2837" s="1" t="s">
        <v>2514</v>
      </c>
      <c r="D2837" s="1" t="str">
        <f>IFERROR(__xludf.DUMMYFUNCTION("GOOGLETRANSLATE(C2837, ""zh-CN"", ""en"")"),"Honghehani Hani Yi Autonomous Prefecture")</f>
        <v>Honghehani Hani Yi Autonomous Prefecture</v>
      </c>
      <c r="E2837" s="1" t="s">
        <v>2605</v>
      </c>
      <c r="F2837" s="1" t="str">
        <f>IFERROR(__xludf.DUMMYFUNCTION("GOOGLETRANSLATE(E2837, ""zh-CN"", ""en"")"),"Pyrodolita")</f>
        <v>Pyrodolita</v>
      </c>
      <c r="G2837" s="1">
        <v>5.32504E11</v>
      </c>
    </row>
    <row r="2838">
      <c r="A2838" s="1" t="s">
        <v>2504</v>
      </c>
      <c r="B2838" s="1" t="str">
        <f>IFERROR(__xludf.DUMMYFUNCTION("GOOGLETRANSLATE(A2764, ""zh-CN"", ""en"")"),"Yunnan Province")</f>
        <v>Yunnan Province</v>
      </c>
      <c r="C2838" s="1" t="s">
        <v>2514</v>
      </c>
      <c r="D2838" s="1" t="str">
        <f>IFERROR(__xludf.DUMMYFUNCTION("GOOGLETRANSLATE(C2838, ""zh-CN"", ""en"")"),"Honghehani Hani Yi Autonomous Prefecture")</f>
        <v>Honghehani Hani Yi Autonomous Prefecture</v>
      </c>
      <c r="E2838" s="1" t="s">
        <v>2606</v>
      </c>
      <c r="F2838" s="1" t="str">
        <f>IFERROR(__xludf.DUMMYFUNCTION("GOOGLETRANSLATE(E2838, ""zh-CN"", ""en"")"),"Pingbian Miao Autonomous County")</f>
        <v>Pingbian Miao Autonomous County</v>
      </c>
      <c r="G2838" s="1">
        <v>5.32523E11</v>
      </c>
    </row>
    <row r="2839">
      <c r="A2839" s="1" t="s">
        <v>2504</v>
      </c>
      <c r="B2839" s="1" t="str">
        <f>IFERROR(__xludf.DUMMYFUNCTION("GOOGLETRANSLATE(A2765, ""zh-CN"", ""en"")"),"Yunnan Province")</f>
        <v>Yunnan Province</v>
      </c>
      <c r="C2839" s="1" t="s">
        <v>2514</v>
      </c>
      <c r="D2839" s="1" t="str">
        <f>IFERROR(__xludf.DUMMYFUNCTION("GOOGLETRANSLATE(C2839, ""zh-CN"", ""en"")"),"Honghehani Hani Yi Autonomous Prefecture")</f>
        <v>Honghehani Hani Yi Autonomous Prefecture</v>
      </c>
      <c r="E2839" s="1" t="s">
        <v>2607</v>
      </c>
      <c r="F2839" s="1" t="str">
        <f>IFERROR(__xludf.DUMMYFUNCTION("GOOGLETRANSLATE(E2839, ""zh-CN"", ""en"")"),"Jianshui County")</f>
        <v>Jianshui County</v>
      </c>
      <c r="G2839" s="1">
        <v>5.32524E11</v>
      </c>
    </row>
    <row r="2840">
      <c r="A2840" s="1" t="s">
        <v>2504</v>
      </c>
      <c r="B2840" s="1" t="str">
        <f>IFERROR(__xludf.DUMMYFUNCTION("GOOGLETRANSLATE(A2766, ""zh-CN"", ""en"")"),"Yunnan Province")</f>
        <v>Yunnan Province</v>
      </c>
      <c r="C2840" s="1" t="s">
        <v>2514</v>
      </c>
      <c r="D2840" s="1" t="str">
        <f>IFERROR(__xludf.DUMMYFUNCTION("GOOGLETRANSLATE(C2840, ""zh-CN"", ""en"")"),"Honghehani Hani Yi Autonomous Prefecture")</f>
        <v>Honghehani Hani Yi Autonomous Prefecture</v>
      </c>
      <c r="E2840" s="1" t="s">
        <v>2608</v>
      </c>
      <c r="F2840" s="1" t="str">
        <f>IFERROR(__xludf.DUMMYFUNCTION("GOOGLETRANSLATE(E2840, ""zh-CN"", ""en"")"),"Shiping County")</f>
        <v>Shiping County</v>
      </c>
      <c r="G2840" s="1">
        <v>5.32525E11</v>
      </c>
    </row>
    <row r="2841">
      <c r="A2841" s="1" t="s">
        <v>2504</v>
      </c>
      <c r="B2841" s="1" t="str">
        <f>IFERROR(__xludf.DUMMYFUNCTION("GOOGLETRANSLATE(A2767, ""zh-CN"", ""en"")"),"Yunnan Province")</f>
        <v>Yunnan Province</v>
      </c>
      <c r="C2841" s="1" t="s">
        <v>2514</v>
      </c>
      <c r="D2841" s="1" t="str">
        <f>IFERROR(__xludf.DUMMYFUNCTION("GOOGLETRANSLATE(C2841, ""zh-CN"", ""en"")"),"Honghehani Hani Yi Autonomous Prefecture")</f>
        <v>Honghehani Hani Yi Autonomous Prefecture</v>
      </c>
      <c r="E2841" s="1" t="s">
        <v>2609</v>
      </c>
      <c r="F2841" s="1" t="str">
        <f>IFERROR(__xludf.DUMMYFUNCTION("GOOGLETRANSLATE(E2841, ""zh-CN"", ""en"")"),"Luxi County")</f>
        <v>Luxi County</v>
      </c>
      <c r="G2841" s="1">
        <v>5.32527E11</v>
      </c>
    </row>
    <row r="2842">
      <c r="A2842" s="1" t="s">
        <v>2504</v>
      </c>
      <c r="B2842" s="1" t="str">
        <f>IFERROR(__xludf.DUMMYFUNCTION("GOOGLETRANSLATE(A2768, ""zh-CN"", ""en"")"),"Yunnan Province")</f>
        <v>Yunnan Province</v>
      </c>
      <c r="C2842" s="1" t="s">
        <v>2514</v>
      </c>
      <c r="D2842" s="1" t="str">
        <f>IFERROR(__xludf.DUMMYFUNCTION("GOOGLETRANSLATE(C2842, ""zh-CN"", ""en"")"),"Honghehani Hani Yi Autonomous Prefecture")</f>
        <v>Honghehani Hani Yi Autonomous Prefecture</v>
      </c>
      <c r="E2842" s="1" t="s">
        <v>2610</v>
      </c>
      <c r="F2842" s="1" t="str">
        <f>IFERROR(__xludf.DUMMYFUNCTION("GOOGLETRANSLATE(E2842, ""zh-CN"", ""en"")"),"Yuanyang County")</f>
        <v>Yuanyang County</v>
      </c>
      <c r="G2842" s="1">
        <v>5.32528E11</v>
      </c>
    </row>
    <row r="2843">
      <c r="A2843" s="1" t="s">
        <v>2504</v>
      </c>
      <c r="B2843" s="1" t="str">
        <f>IFERROR(__xludf.DUMMYFUNCTION("GOOGLETRANSLATE(A2769, ""zh-CN"", ""en"")"),"Yunnan Province")</f>
        <v>Yunnan Province</v>
      </c>
      <c r="C2843" s="1" t="s">
        <v>2514</v>
      </c>
      <c r="D2843" s="1" t="str">
        <f>IFERROR(__xludf.DUMMYFUNCTION("GOOGLETRANSLATE(C2843, ""zh-CN"", ""en"")"),"Honghehani Hani Yi Autonomous Prefecture")</f>
        <v>Honghehani Hani Yi Autonomous Prefecture</v>
      </c>
      <c r="E2843" s="1" t="s">
        <v>2611</v>
      </c>
      <c r="F2843" s="1" t="str">
        <f>IFERROR(__xludf.DUMMYFUNCTION("GOOGLETRANSLATE(E2843, ""zh-CN"", ""en"")"),"Honghe County")</f>
        <v>Honghe County</v>
      </c>
      <c r="G2843" s="1">
        <v>5.32529E11</v>
      </c>
    </row>
    <row r="2844">
      <c r="A2844" s="1" t="s">
        <v>2504</v>
      </c>
      <c r="B2844" s="1" t="str">
        <f>IFERROR(__xludf.DUMMYFUNCTION("GOOGLETRANSLATE(A2770, ""zh-CN"", ""en"")"),"Yunnan Province")</f>
        <v>Yunnan Province</v>
      </c>
      <c r="C2844" s="1" t="s">
        <v>2514</v>
      </c>
      <c r="D2844" s="1" t="str">
        <f>IFERROR(__xludf.DUMMYFUNCTION("GOOGLETRANSLATE(C2844, ""zh-CN"", ""en"")"),"Honghehani Hani Yi Autonomous Prefecture")</f>
        <v>Honghehani Hani Yi Autonomous Prefecture</v>
      </c>
      <c r="E2844" s="1" t="s">
        <v>2612</v>
      </c>
      <c r="F2844" s="1" t="str">
        <f>IFERROR(__xludf.DUMMYFUNCTION("GOOGLETRANSLATE(E2844, ""zh-CN"", ""en"")"),"Jinping Miao Miao Yao Dai Dai Autonomous County")</f>
        <v>Jinping Miao Miao Yao Dai Dai Autonomous County</v>
      </c>
      <c r="G2844" s="1">
        <v>5.3253E11</v>
      </c>
    </row>
    <row r="2845">
      <c r="A2845" s="1" t="s">
        <v>2504</v>
      </c>
      <c r="B2845" s="1" t="str">
        <f>IFERROR(__xludf.DUMMYFUNCTION("GOOGLETRANSLATE(A2771, ""zh-CN"", ""en"")"),"Yunnan Province")</f>
        <v>Yunnan Province</v>
      </c>
      <c r="C2845" s="1" t="s">
        <v>2514</v>
      </c>
      <c r="D2845" s="1" t="str">
        <f>IFERROR(__xludf.DUMMYFUNCTION("GOOGLETRANSLATE(C2845, ""zh-CN"", ""en"")"),"Honghehani Hani Yi Autonomous Prefecture")</f>
        <v>Honghehani Hani Yi Autonomous Prefecture</v>
      </c>
      <c r="E2845" s="1" t="s">
        <v>2613</v>
      </c>
      <c r="F2845" s="1" t="str">
        <f>IFERROR(__xludf.DUMMYFUNCTION("GOOGLETRANSLATE(E2845, ""zh-CN"", ""en"")"),"Lvchun County")</f>
        <v>Lvchun County</v>
      </c>
      <c r="G2845" s="1">
        <v>5.32531E11</v>
      </c>
    </row>
    <row r="2846">
      <c r="A2846" s="1" t="s">
        <v>2504</v>
      </c>
      <c r="B2846" s="1" t="str">
        <f>IFERROR(__xludf.DUMMYFUNCTION("GOOGLETRANSLATE(A2772, ""zh-CN"", ""en"")"),"Yunnan Province")</f>
        <v>Yunnan Province</v>
      </c>
      <c r="C2846" s="1" t="s">
        <v>2514</v>
      </c>
      <c r="D2846" s="1" t="str">
        <f>IFERROR(__xludf.DUMMYFUNCTION("GOOGLETRANSLATE(C2846, ""zh-CN"", ""en"")"),"Honghehani Hani Yi Autonomous Prefecture")</f>
        <v>Honghehani Hani Yi Autonomous Prefecture</v>
      </c>
      <c r="E2846" s="1" t="s">
        <v>2614</v>
      </c>
      <c r="F2846" s="1" t="str">
        <f>IFERROR(__xludf.DUMMYFUNCTION("GOOGLETRANSLATE(E2846, ""zh-CN"", ""en"")"),"Hekou Yao Autonomous County")</f>
        <v>Hekou Yao Autonomous County</v>
      </c>
      <c r="G2846" s="1">
        <v>5.32532E11</v>
      </c>
    </row>
    <row r="2847">
      <c r="A2847" s="1" t="s">
        <v>2504</v>
      </c>
      <c r="B2847" s="1" t="str">
        <f>IFERROR(__xludf.DUMMYFUNCTION("GOOGLETRANSLATE(A2773, ""zh-CN"", ""en"")"),"Yunnan Province")</f>
        <v>Yunnan Province</v>
      </c>
      <c r="C2847" s="1" t="s">
        <v>2515</v>
      </c>
      <c r="D2847" s="1" t="str">
        <f>IFERROR(__xludf.DUMMYFUNCTION("GOOGLETRANSLATE(C2847, ""zh-CN"", ""en"")"),"Wenshan Zhuang Miao Autonomous Prefecture")</f>
        <v>Wenshan Zhuang Miao Autonomous Prefecture</v>
      </c>
      <c r="E2847" s="1" t="s">
        <v>2615</v>
      </c>
      <c r="F2847" s="1" t="str">
        <f>IFERROR(__xludf.DUMMYFUNCTION("GOOGLETRANSLATE(E2847, ""zh-CN"", ""en"")"),"Wenshan City")</f>
        <v>Wenshan City</v>
      </c>
      <c r="G2847" s="1">
        <v>5.32601E11</v>
      </c>
    </row>
    <row r="2848">
      <c r="A2848" s="1" t="s">
        <v>2504</v>
      </c>
      <c r="B2848" s="1" t="str">
        <f>IFERROR(__xludf.DUMMYFUNCTION("GOOGLETRANSLATE(A2774, ""zh-CN"", ""en"")"),"Yunnan Province")</f>
        <v>Yunnan Province</v>
      </c>
      <c r="C2848" s="1" t="s">
        <v>2515</v>
      </c>
      <c r="D2848" s="1" t="str">
        <f>IFERROR(__xludf.DUMMYFUNCTION("GOOGLETRANSLATE(C2848, ""zh-CN"", ""en"")"),"Wenshan Zhuang Miao Autonomous Prefecture")</f>
        <v>Wenshan Zhuang Miao Autonomous Prefecture</v>
      </c>
      <c r="E2848" s="1" t="s">
        <v>2616</v>
      </c>
      <c r="F2848" s="1" t="str">
        <f>IFERROR(__xludf.DUMMYFUNCTION("GOOGLETRANSLATE(E2848, ""zh-CN"", ""en"")"),"Takayama Prefecture")</f>
        <v>Takayama Prefecture</v>
      </c>
      <c r="G2848" s="1">
        <v>5.32622E11</v>
      </c>
    </row>
    <row r="2849">
      <c r="A2849" s="1" t="s">
        <v>2504</v>
      </c>
      <c r="B2849" s="1" t="str">
        <f>IFERROR(__xludf.DUMMYFUNCTION("GOOGLETRANSLATE(A2775, ""zh-CN"", ""en"")"),"Yunnan Province")</f>
        <v>Yunnan Province</v>
      </c>
      <c r="C2849" s="1" t="s">
        <v>2515</v>
      </c>
      <c r="D2849" s="1" t="str">
        <f>IFERROR(__xludf.DUMMYFUNCTION("GOOGLETRANSLATE(C2849, ""zh-CN"", ""en"")"),"Wenshan Zhuang Miao Autonomous Prefecture")</f>
        <v>Wenshan Zhuang Miao Autonomous Prefecture</v>
      </c>
      <c r="E2849" s="1" t="s">
        <v>2617</v>
      </c>
      <c r="F2849" s="1" t="str">
        <f>IFERROR(__xludf.DUMMYFUNCTION("GOOGLETRANSLATE(E2849, ""zh-CN"", ""en"")"),"Xichou County")</f>
        <v>Xichou County</v>
      </c>
      <c r="G2849" s="1">
        <v>5.32623E11</v>
      </c>
    </row>
    <row r="2850">
      <c r="A2850" s="1" t="s">
        <v>2504</v>
      </c>
      <c r="B2850" s="1" t="str">
        <f>IFERROR(__xludf.DUMMYFUNCTION("GOOGLETRANSLATE(A2776, ""zh-CN"", ""en"")"),"Yunnan Province")</f>
        <v>Yunnan Province</v>
      </c>
      <c r="C2850" s="1" t="s">
        <v>2515</v>
      </c>
      <c r="D2850" s="1" t="str">
        <f>IFERROR(__xludf.DUMMYFUNCTION("GOOGLETRANSLATE(C2850, ""zh-CN"", ""en"")"),"Wenshan Zhuang Miao Autonomous Prefecture")</f>
        <v>Wenshan Zhuang Miao Autonomous Prefecture</v>
      </c>
      <c r="E2850" s="1" t="s">
        <v>2618</v>
      </c>
      <c r="F2850" s="1" t="str">
        <f>IFERROR(__xludf.DUMMYFUNCTION("GOOGLETRANSLATE(E2850, ""zh-CN"", ""en"")"),"Malipo County")</f>
        <v>Malipo County</v>
      </c>
      <c r="G2850" s="1">
        <v>5.32624E11</v>
      </c>
    </row>
    <row r="2851">
      <c r="A2851" s="1" t="s">
        <v>2504</v>
      </c>
      <c r="B2851" s="1" t="str">
        <f>IFERROR(__xludf.DUMMYFUNCTION("GOOGLETRANSLATE(A2777, ""zh-CN"", ""en"")"),"Yunnan Province")</f>
        <v>Yunnan Province</v>
      </c>
      <c r="C2851" s="1" t="s">
        <v>2515</v>
      </c>
      <c r="D2851" s="1" t="str">
        <f>IFERROR(__xludf.DUMMYFUNCTION("GOOGLETRANSLATE(C2851, ""zh-CN"", ""en"")"),"Wenshan Zhuang Miao Autonomous Prefecture")</f>
        <v>Wenshan Zhuang Miao Autonomous Prefecture</v>
      </c>
      <c r="E2851" s="1" t="s">
        <v>2619</v>
      </c>
      <c r="F2851" s="1" t="str">
        <f>IFERROR(__xludf.DUMMYFUNCTION("GOOGLETRANSLATE(E2851, ""zh-CN"", ""en"")"),"Maguan County")</f>
        <v>Maguan County</v>
      </c>
      <c r="G2851" s="1">
        <v>5.32625E11</v>
      </c>
    </row>
    <row r="2852">
      <c r="A2852" s="1" t="s">
        <v>2504</v>
      </c>
      <c r="B2852" s="1" t="str">
        <f>IFERROR(__xludf.DUMMYFUNCTION("GOOGLETRANSLATE(A2778, ""zh-CN"", ""en"")"),"Yunnan Province")</f>
        <v>Yunnan Province</v>
      </c>
      <c r="C2852" s="1" t="s">
        <v>2515</v>
      </c>
      <c r="D2852" s="1" t="str">
        <f>IFERROR(__xludf.DUMMYFUNCTION("GOOGLETRANSLATE(C2852, ""zh-CN"", ""en"")"),"Wenshan Zhuang Miao Autonomous Prefecture")</f>
        <v>Wenshan Zhuang Miao Autonomous Prefecture</v>
      </c>
      <c r="E2852" s="1" t="s">
        <v>2620</v>
      </c>
      <c r="F2852" s="1" t="str">
        <f>IFERROR(__xludf.DUMMYFUNCTION("GOOGLETRANSLATE(E2852, ""zh-CN"", ""en"")"),"Qiubei County")</f>
        <v>Qiubei County</v>
      </c>
      <c r="G2852" s="1">
        <v>5.32626E11</v>
      </c>
    </row>
    <row r="2853">
      <c r="A2853" s="1" t="s">
        <v>2504</v>
      </c>
      <c r="B2853" s="1" t="str">
        <f>IFERROR(__xludf.DUMMYFUNCTION("GOOGLETRANSLATE(A2779, ""zh-CN"", ""en"")"),"Yunnan Province")</f>
        <v>Yunnan Province</v>
      </c>
      <c r="C2853" s="1" t="s">
        <v>2515</v>
      </c>
      <c r="D2853" s="1" t="str">
        <f>IFERROR(__xludf.DUMMYFUNCTION("GOOGLETRANSLATE(C2853, ""zh-CN"", ""en"")"),"Wenshan Zhuang Miao Autonomous Prefecture")</f>
        <v>Wenshan Zhuang Miao Autonomous Prefecture</v>
      </c>
      <c r="E2853" s="1" t="s">
        <v>2621</v>
      </c>
      <c r="F2853" s="1" t="str">
        <f>IFERROR(__xludf.DUMMYFUNCTION("GOOGLETRANSLATE(E2853, ""zh-CN"", ""en"")"),"Guangnan County")</f>
        <v>Guangnan County</v>
      </c>
      <c r="G2853" s="1">
        <v>5.32627E11</v>
      </c>
    </row>
    <row r="2854">
      <c r="A2854" s="1" t="s">
        <v>2504</v>
      </c>
      <c r="B2854" s="1" t="str">
        <f>IFERROR(__xludf.DUMMYFUNCTION("GOOGLETRANSLATE(A2780, ""zh-CN"", ""en"")"),"Yunnan Province")</f>
        <v>Yunnan Province</v>
      </c>
      <c r="C2854" s="1" t="s">
        <v>2515</v>
      </c>
      <c r="D2854" s="1" t="str">
        <f>IFERROR(__xludf.DUMMYFUNCTION("GOOGLETRANSLATE(C2854, ""zh-CN"", ""en"")"),"Wenshan Zhuang Miao Autonomous Prefecture")</f>
        <v>Wenshan Zhuang Miao Autonomous Prefecture</v>
      </c>
      <c r="E2854" s="1" t="s">
        <v>2622</v>
      </c>
      <c r="F2854" s="1" t="str">
        <f>IFERROR(__xludf.DUMMYFUNCTION("GOOGLETRANSLATE(E2854, ""zh-CN"", ""en"")"),"Funing County")</f>
        <v>Funing County</v>
      </c>
      <c r="G2854" s="1">
        <v>5.32628E11</v>
      </c>
    </row>
    <row r="2855">
      <c r="A2855" s="1" t="s">
        <v>2504</v>
      </c>
      <c r="B2855" s="1" t="str">
        <f>IFERROR(__xludf.DUMMYFUNCTION("GOOGLETRANSLATE(A2781, ""zh-CN"", ""en"")"),"Yunnan Province")</f>
        <v>Yunnan Province</v>
      </c>
      <c r="C2855" s="1" t="s">
        <v>2516</v>
      </c>
      <c r="D2855" s="1" t="str">
        <f>IFERROR(__xludf.DUMMYFUNCTION("GOOGLETRANSLATE(C2855, ""zh-CN"", ""en"")"),"Xishuangbanna Dai Autonomous Prefecture")</f>
        <v>Xishuangbanna Dai Autonomous Prefecture</v>
      </c>
      <c r="E2855" s="1" t="s">
        <v>2623</v>
      </c>
      <c r="F2855" s="1" t="str">
        <f>IFERROR(__xludf.DUMMYFUNCTION("GOOGLETRANSLATE(E2855, ""zh-CN"", ""en"")"),"Jinghong City")</f>
        <v>Jinghong City</v>
      </c>
      <c r="G2855" s="1">
        <v>5.32801E11</v>
      </c>
    </row>
    <row r="2856">
      <c r="A2856" s="1" t="s">
        <v>2504</v>
      </c>
      <c r="B2856" s="1" t="str">
        <f>IFERROR(__xludf.DUMMYFUNCTION("GOOGLETRANSLATE(A2782, ""zh-CN"", ""en"")"),"Yunnan Province")</f>
        <v>Yunnan Province</v>
      </c>
      <c r="C2856" s="1" t="s">
        <v>2516</v>
      </c>
      <c r="D2856" s="1" t="str">
        <f>IFERROR(__xludf.DUMMYFUNCTION("GOOGLETRANSLATE(C2856, ""zh-CN"", ""en"")"),"Xishuangbanna Dai Autonomous Prefecture")</f>
        <v>Xishuangbanna Dai Autonomous Prefecture</v>
      </c>
      <c r="E2856" s="1" t="s">
        <v>2624</v>
      </c>
      <c r="F2856" s="1" t="str">
        <f>IFERROR(__xludf.DUMMYFUNCTION("GOOGLETRANSLATE(E2856, ""zh-CN"", ""en"")"),"Erhai County")</f>
        <v>Erhai County</v>
      </c>
      <c r="G2856" s="1">
        <v>5.32822E11</v>
      </c>
    </row>
    <row r="2857">
      <c r="A2857" s="1" t="s">
        <v>2504</v>
      </c>
      <c r="B2857" s="1" t="str">
        <f>IFERROR(__xludf.DUMMYFUNCTION("GOOGLETRANSLATE(A2783, ""zh-CN"", ""en"")"),"Yunnan Province")</f>
        <v>Yunnan Province</v>
      </c>
      <c r="C2857" s="1" t="s">
        <v>2516</v>
      </c>
      <c r="D2857" s="1" t="str">
        <f>IFERROR(__xludf.DUMMYFUNCTION("GOOGLETRANSLATE(C2857, ""zh-CN"", ""en"")"),"Xishuangbanna Dai Autonomous Prefecture")</f>
        <v>Xishuangbanna Dai Autonomous Prefecture</v>
      </c>
      <c r="E2857" s="1" t="s">
        <v>2625</v>
      </c>
      <c r="F2857" s="1" t="str">
        <f>IFERROR(__xludf.DUMMYFUNCTION("GOOGLETRANSLATE(E2857, ""zh-CN"", ""en"")"),"Mengla County")</f>
        <v>Mengla County</v>
      </c>
      <c r="G2857" s="1">
        <v>5.32823E11</v>
      </c>
    </row>
    <row r="2858">
      <c r="A2858" s="1" t="s">
        <v>2504</v>
      </c>
      <c r="B2858" s="1" t="str">
        <f>IFERROR(__xludf.DUMMYFUNCTION("GOOGLETRANSLATE(A2784, ""zh-CN"", ""en"")"),"Yunnan Province")</f>
        <v>Yunnan Province</v>
      </c>
      <c r="C2858" s="1" t="s">
        <v>2517</v>
      </c>
      <c r="D2858" s="1" t="str">
        <f>IFERROR(__xludf.DUMMYFUNCTION("GOOGLETRANSLATE(C2858, ""zh-CN"", ""en"")"),"Dali Bai Autonomous Prefecture")</f>
        <v>Dali Bai Autonomous Prefecture</v>
      </c>
      <c r="E2858" s="1" t="s">
        <v>2626</v>
      </c>
      <c r="F2858" s="1" t="str">
        <f>IFERROR(__xludf.DUMMYFUNCTION("GOOGLETRANSLATE(E2858, ""zh-CN"", ""en"")"),"Dali City")</f>
        <v>Dali City</v>
      </c>
      <c r="G2858" s="1">
        <v>5.32901E11</v>
      </c>
    </row>
    <row r="2859">
      <c r="A2859" s="1" t="s">
        <v>2504</v>
      </c>
      <c r="B2859" s="1" t="str">
        <f>IFERROR(__xludf.DUMMYFUNCTION("GOOGLETRANSLATE(A2785, ""zh-CN"", ""en"")"),"Yunnan Province")</f>
        <v>Yunnan Province</v>
      </c>
      <c r="C2859" s="1" t="s">
        <v>2517</v>
      </c>
      <c r="D2859" s="1" t="str">
        <f>IFERROR(__xludf.DUMMYFUNCTION("GOOGLETRANSLATE(C2859, ""zh-CN"", ""en"")"),"Dali Bai Autonomous Prefecture")</f>
        <v>Dali Bai Autonomous Prefecture</v>
      </c>
      <c r="E2859" s="1" t="s">
        <v>2627</v>
      </c>
      <c r="F2859" s="1" t="str">
        <f>IFERROR(__xludf.DUMMYFUNCTION("GOOGLETRANSLATE(E2859, ""zh-CN"", ""en"")"),"Yangyi Yi Autonomous County")</f>
        <v>Yangyi Yi Autonomous County</v>
      </c>
      <c r="G2859" s="1">
        <v>5.32922E11</v>
      </c>
    </row>
    <row r="2860">
      <c r="A2860" s="1" t="s">
        <v>2504</v>
      </c>
      <c r="B2860" s="1" t="str">
        <f>IFERROR(__xludf.DUMMYFUNCTION("GOOGLETRANSLATE(A2786, ""zh-CN"", ""en"")"),"Yunnan Province")</f>
        <v>Yunnan Province</v>
      </c>
      <c r="C2860" s="1" t="s">
        <v>2517</v>
      </c>
      <c r="D2860" s="1" t="str">
        <f>IFERROR(__xludf.DUMMYFUNCTION("GOOGLETRANSLATE(C2860, ""zh-CN"", ""en"")"),"Dali Bai Autonomous Prefecture")</f>
        <v>Dali Bai Autonomous Prefecture</v>
      </c>
      <c r="E2860" s="1" t="s">
        <v>2628</v>
      </c>
      <c r="F2860" s="1" t="str">
        <f>IFERROR(__xludf.DUMMYFUNCTION("GOOGLETRANSLATE(E2860, ""zh-CN"", ""en"")"),"Xiangyun County")</f>
        <v>Xiangyun County</v>
      </c>
      <c r="G2860" s="1">
        <v>5.32923E11</v>
      </c>
    </row>
    <row r="2861">
      <c r="A2861" s="1" t="s">
        <v>2504</v>
      </c>
      <c r="B2861" s="1" t="str">
        <f>IFERROR(__xludf.DUMMYFUNCTION("GOOGLETRANSLATE(A2787, ""zh-CN"", ""en"")"),"Yunnan Province")</f>
        <v>Yunnan Province</v>
      </c>
      <c r="C2861" s="1" t="s">
        <v>2517</v>
      </c>
      <c r="D2861" s="1" t="str">
        <f>IFERROR(__xludf.DUMMYFUNCTION("GOOGLETRANSLATE(C2861, ""zh-CN"", ""en"")"),"Dali Bai Autonomous Prefecture")</f>
        <v>Dali Bai Autonomous Prefecture</v>
      </c>
      <c r="E2861" s="1" t="s">
        <v>2629</v>
      </c>
      <c r="F2861" s="1" t="str">
        <f>IFERROR(__xludf.DUMMYFUNCTION("GOOGLETRANSLATE(E2861, ""zh-CN"", ""en"")"),"Binchuan County")</f>
        <v>Binchuan County</v>
      </c>
      <c r="G2861" s="1">
        <v>5.32924E11</v>
      </c>
    </row>
    <row r="2862">
      <c r="A2862" s="1" t="s">
        <v>2504</v>
      </c>
      <c r="B2862" s="1" t="str">
        <f>IFERROR(__xludf.DUMMYFUNCTION("GOOGLETRANSLATE(A2788, ""zh-CN"", ""en"")"),"Yunnan Province")</f>
        <v>Yunnan Province</v>
      </c>
      <c r="C2862" s="1" t="s">
        <v>2517</v>
      </c>
      <c r="D2862" s="1" t="str">
        <f>IFERROR(__xludf.DUMMYFUNCTION("GOOGLETRANSLATE(C2862, ""zh-CN"", ""en"")"),"Dali Bai Autonomous Prefecture")</f>
        <v>Dali Bai Autonomous Prefecture</v>
      </c>
      <c r="E2862" s="1" t="s">
        <v>2630</v>
      </c>
      <c r="F2862" s="1" t="str">
        <f>IFERROR(__xludf.DUMMYFUNCTION("GOOGLETRANSLATE(E2862, ""zh-CN"", ""en"")"),"Midu County")</f>
        <v>Midu County</v>
      </c>
      <c r="G2862" s="1">
        <v>5.32925E11</v>
      </c>
    </row>
    <row r="2863">
      <c r="A2863" s="1" t="s">
        <v>2504</v>
      </c>
      <c r="B2863" s="1" t="str">
        <f>IFERROR(__xludf.DUMMYFUNCTION("GOOGLETRANSLATE(A2789, ""zh-CN"", ""en"")"),"Yunnan Province")</f>
        <v>Yunnan Province</v>
      </c>
      <c r="C2863" s="1" t="s">
        <v>2517</v>
      </c>
      <c r="D2863" s="1" t="str">
        <f>IFERROR(__xludf.DUMMYFUNCTION("GOOGLETRANSLATE(C2863, ""zh-CN"", ""en"")"),"Dali Bai Autonomous Prefecture")</f>
        <v>Dali Bai Autonomous Prefecture</v>
      </c>
      <c r="E2863" s="1" t="s">
        <v>2631</v>
      </c>
      <c r="F2863" s="1" t="str">
        <f>IFERROR(__xludf.DUMMYFUNCTION("GOOGLETRANSLATE(E2863, ""zh-CN"", ""en"")"),"Nanxun Yi Autonomous County")</f>
        <v>Nanxun Yi Autonomous County</v>
      </c>
      <c r="G2863" s="1">
        <v>5.32926E11</v>
      </c>
    </row>
    <row r="2864">
      <c r="A2864" s="1" t="s">
        <v>2504</v>
      </c>
      <c r="B2864" s="1" t="str">
        <f>IFERROR(__xludf.DUMMYFUNCTION("GOOGLETRANSLATE(A2790, ""zh-CN"", ""en"")"),"Yunnan Province")</f>
        <v>Yunnan Province</v>
      </c>
      <c r="C2864" s="1" t="s">
        <v>2517</v>
      </c>
      <c r="D2864" s="1" t="str">
        <f>IFERROR(__xludf.DUMMYFUNCTION("GOOGLETRANSLATE(C2864, ""zh-CN"", ""en"")"),"Dali Bai Autonomous Prefecture")</f>
        <v>Dali Bai Autonomous Prefecture</v>
      </c>
      <c r="E2864" s="1" t="s">
        <v>2632</v>
      </c>
      <c r="F2864" s="1" t="str">
        <f>IFERROR(__xludf.DUMMYFUNCTION("GOOGLETRANSLATE(E2864, ""zh-CN"", ""en"")"),"Weishan Yi Hui Autonomous County")</f>
        <v>Weishan Yi Hui Autonomous County</v>
      </c>
      <c r="G2864" s="1">
        <v>5.32927E11</v>
      </c>
    </row>
    <row r="2865">
      <c r="A2865" s="1" t="s">
        <v>2504</v>
      </c>
      <c r="B2865" s="1" t="str">
        <f>IFERROR(__xludf.DUMMYFUNCTION("GOOGLETRANSLATE(A2791, ""zh-CN"", ""en"")"),"Yunnan Province")</f>
        <v>Yunnan Province</v>
      </c>
      <c r="C2865" s="1" t="s">
        <v>2517</v>
      </c>
      <c r="D2865" s="1" t="str">
        <f>IFERROR(__xludf.DUMMYFUNCTION("GOOGLETRANSLATE(C2865, ""zh-CN"", ""en"")"),"Dali Bai Autonomous Prefecture")</f>
        <v>Dali Bai Autonomous Prefecture</v>
      </c>
      <c r="E2865" s="1" t="s">
        <v>2633</v>
      </c>
      <c r="F2865" s="1" t="str">
        <f>IFERROR(__xludf.DUMMYFUNCTION("GOOGLETRANSLATE(E2865, ""zh-CN"", ""en"")"),"Yongping County")</f>
        <v>Yongping County</v>
      </c>
      <c r="G2865" s="1">
        <v>5.32928E11</v>
      </c>
    </row>
    <row r="2866">
      <c r="A2866" s="1" t="s">
        <v>2504</v>
      </c>
      <c r="B2866" s="1" t="str">
        <f>IFERROR(__xludf.DUMMYFUNCTION("GOOGLETRANSLATE(A2792, ""zh-CN"", ""en"")"),"Yunnan Province")</f>
        <v>Yunnan Province</v>
      </c>
      <c r="C2866" s="1" t="s">
        <v>2517</v>
      </c>
      <c r="D2866" s="1" t="str">
        <f>IFERROR(__xludf.DUMMYFUNCTION("GOOGLETRANSLATE(C2866, ""zh-CN"", ""en"")"),"Dali Bai Autonomous Prefecture")</f>
        <v>Dali Bai Autonomous Prefecture</v>
      </c>
      <c r="E2866" s="1" t="s">
        <v>2634</v>
      </c>
      <c r="F2866" s="1" t="str">
        <f>IFERROR(__xludf.DUMMYFUNCTION("GOOGLETRANSLATE(E2866, ""zh-CN"", ""en"")"),"Yunlong County")</f>
        <v>Yunlong County</v>
      </c>
      <c r="G2866" s="1">
        <v>5.32929E11</v>
      </c>
    </row>
    <row r="2867">
      <c r="A2867" s="1" t="s">
        <v>2504</v>
      </c>
      <c r="B2867" s="1" t="str">
        <f>IFERROR(__xludf.DUMMYFUNCTION("GOOGLETRANSLATE(A2793, ""zh-CN"", ""en"")"),"Yunnan Province")</f>
        <v>Yunnan Province</v>
      </c>
      <c r="C2867" s="1" t="s">
        <v>2517</v>
      </c>
      <c r="D2867" s="1" t="str">
        <f>IFERROR(__xludf.DUMMYFUNCTION("GOOGLETRANSLATE(C2867, ""zh-CN"", ""en"")"),"Dali Bai Autonomous Prefecture")</f>
        <v>Dali Bai Autonomous Prefecture</v>
      </c>
      <c r="E2867" s="1" t="s">
        <v>2635</v>
      </c>
      <c r="F2867" s="1" t="str">
        <f>IFERROR(__xludf.DUMMYFUNCTION("GOOGLETRANSLATE(E2867, ""zh-CN"", ""en"")"),"Eriyuan County")</f>
        <v>Eriyuan County</v>
      </c>
      <c r="G2867" s="1">
        <v>5.3293E11</v>
      </c>
    </row>
    <row r="2868">
      <c r="A2868" s="1" t="s">
        <v>2504</v>
      </c>
      <c r="B2868" s="1" t="str">
        <f>IFERROR(__xludf.DUMMYFUNCTION("GOOGLETRANSLATE(A2794, ""zh-CN"", ""en"")"),"Yunnan Province")</f>
        <v>Yunnan Province</v>
      </c>
      <c r="C2868" s="1" t="s">
        <v>2517</v>
      </c>
      <c r="D2868" s="1" t="str">
        <f>IFERROR(__xludf.DUMMYFUNCTION("GOOGLETRANSLATE(C2868, ""zh-CN"", ""en"")"),"Dali Bai Autonomous Prefecture")</f>
        <v>Dali Bai Autonomous Prefecture</v>
      </c>
      <c r="E2868" s="1" t="s">
        <v>2636</v>
      </c>
      <c r="F2868" s="1" t="str">
        <f>IFERROR(__xludf.DUMMYFUNCTION("GOOGLETRANSLATE(E2868, ""zh-CN"", ""en"")"),"Jianchuan County")</f>
        <v>Jianchuan County</v>
      </c>
      <c r="G2868" s="1">
        <v>5.32931E11</v>
      </c>
    </row>
    <row r="2869">
      <c r="A2869" s="1" t="s">
        <v>2504</v>
      </c>
      <c r="B2869" s="1" t="str">
        <f>IFERROR(__xludf.DUMMYFUNCTION("GOOGLETRANSLATE(A2795, ""zh-CN"", ""en"")"),"Yunnan Province")</f>
        <v>Yunnan Province</v>
      </c>
      <c r="C2869" s="1" t="s">
        <v>2517</v>
      </c>
      <c r="D2869" s="1" t="str">
        <f>IFERROR(__xludf.DUMMYFUNCTION("GOOGLETRANSLATE(C2869, ""zh-CN"", ""en"")"),"Dali Bai Autonomous Prefecture")</f>
        <v>Dali Bai Autonomous Prefecture</v>
      </c>
      <c r="E2869" s="1" t="s">
        <v>2637</v>
      </c>
      <c r="F2869" s="1" t="str">
        <f>IFERROR(__xludf.DUMMYFUNCTION("GOOGLETRANSLATE(E2869, ""zh-CN"", ""en"")"),"Heqing County")</f>
        <v>Heqing County</v>
      </c>
      <c r="G2869" s="1">
        <v>5.32932E11</v>
      </c>
    </row>
    <row r="2870">
      <c r="A2870" s="1" t="s">
        <v>2504</v>
      </c>
      <c r="B2870" s="1" t="str">
        <f>IFERROR(__xludf.DUMMYFUNCTION("GOOGLETRANSLATE(A2796, ""zh-CN"", ""en"")"),"Yunnan Province")</f>
        <v>Yunnan Province</v>
      </c>
      <c r="C2870" s="1" t="s">
        <v>2518</v>
      </c>
      <c r="D2870" s="1" t="str">
        <f>IFERROR(__xludf.DUMMYFUNCTION("GOOGLETRANSLATE(C2870, ""zh-CN"", ""en"")"),"Dehong Dai Jingpo Autonomous Prefecture")</f>
        <v>Dehong Dai Jingpo Autonomous Prefecture</v>
      </c>
      <c r="E2870" s="1" t="s">
        <v>2638</v>
      </c>
      <c r="F2870" s="1" t="str">
        <f>IFERROR(__xludf.DUMMYFUNCTION("GOOGLETRANSLATE(E2870, ""zh-CN"", ""en"")"),"Ruili City")</f>
        <v>Ruili City</v>
      </c>
      <c r="G2870" s="1">
        <v>5.33102E11</v>
      </c>
    </row>
    <row r="2871">
      <c r="A2871" s="1" t="s">
        <v>2504</v>
      </c>
      <c r="B2871" s="1" t="str">
        <f>IFERROR(__xludf.DUMMYFUNCTION("GOOGLETRANSLATE(A2797, ""zh-CN"", ""en"")"),"Yunnan Province")</f>
        <v>Yunnan Province</v>
      </c>
      <c r="C2871" s="1" t="s">
        <v>2518</v>
      </c>
      <c r="D2871" s="1" t="str">
        <f>IFERROR(__xludf.DUMMYFUNCTION("GOOGLETRANSLATE(C2871, ""zh-CN"", ""en"")"),"Dehong Dai Jingpo Autonomous Prefecture")</f>
        <v>Dehong Dai Jingpo Autonomous Prefecture</v>
      </c>
      <c r="E2871" s="1" t="s">
        <v>2639</v>
      </c>
      <c r="F2871" s="1" t="str">
        <f>IFERROR(__xludf.DUMMYFUNCTION("GOOGLETRANSLATE(E2871, ""zh-CN"", ""en"")"),"Market")</f>
        <v>Market</v>
      </c>
      <c r="G2871" s="1">
        <v>5.33103E11</v>
      </c>
    </row>
    <row r="2872">
      <c r="A2872" s="1" t="s">
        <v>2504</v>
      </c>
      <c r="B2872" s="1" t="str">
        <f>IFERROR(__xludf.DUMMYFUNCTION("GOOGLETRANSLATE(A2798, ""zh-CN"", ""en"")"),"Yunnan Province")</f>
        <v>Yunnan Province</v>
      </c>
      <c r="C2872" s="1" t="s">
        <v>2518</v>
      </c>
      <c r="D2872" s="1" t="str">
        <f>IFERROR(__xludf.DUMMYFUNCTION("GOOGLETRANSLATE(C2872, ""zh-CN"", ""en"")"),"Dehong Dai Jingpo Autonomous Prefecture")</f>
        <v>Dehong Dai Jingpo Autonomous Prefecture</v>
      </c>
      <c r="E2872" s="1" t="s">
        <v>2640</v>
      </c>
      <c r="F2872" s="1" t="str">
        <f>IFERROR(__xludf.DUMMYFUNCTION("GOOGLETRANSLATE(E2872, ""zh-CN"", ""en"")"),"Lianghe County")</f>
        <v>Lianghe County</v>
      </c>
      <c r="G2872" s="1">
        <v>5.33122E11</v>
      </c>
    </row>
    <row r="2873">
      <c r="A2873" s="1" t="s">
        <v>2504</v>
      </c>
      <c r="B2873" s="1" t="str">
        <f>IFERROR(__xludf.DUMMYFUNCTION("GOOGLETRANSLATE(A2799, ""zh-CN"", ""en"")"),"Yunnan Province")</f>
        <v>Yunnan Province</v>
      </c>
      <c r="C2873" s="1" t="s">
        <v>2518</v>
      </c>
      <c r="D2873" s="1" t="str">
        <f>IFERROR(__xludf.DUMMYFUNCTION("GOOGLETRANSLATE(C2873, ""zh-CN"", ""en"")"),"Dehong Dai Jingpo Autonomous Prefecture")</f>
        <v>Dehong Dai Jingpo Autonomous Prefecture</v>
      </c>
      <c r="E2873" s="1" t="s">
        <v>2641</v>
      </c>
      <c r="F2873" s="1" t="str">
        <f>IFERROR(__xludf.DUMMYFUNCTION("GOOGLETRANSLATE(E2873, ""zh-CN"", ""en"")"),"Yingjiang County")</f>
        <v>Yingjiang County</v>
      </c>
      <c r="G2873" s="1">
        <v>5.33123E11</v>
      </c>
    </row>
    <row r="2874">
      <c r="A2874" s="1" t="s">
        <v>2504</v>
      </c>
      <c r="B2874" s="1" t="str">
        <f>IFERROR(__xludf.DUMMYFUNCTION("GOOGLETRANSLATE(A2800, ""zh-CN"", ""en"")"),"Yunnan Province")</f>
        <v>Yunnan Province</v>
      </c>
      <c r="C2874" s="1" t="s">
        <v>2518</v>
      </c>
      <c r="D2874" s="1" t="str">
        <f>IFERROR(__xludf.DUMMYFUNCTION("GOOGLETRANSLATE(C2874, ""zh-CN"", ""en"")"),"Dehong Dai Jingpo Autonomous Prefecture")</f>
        <v>Dehong Dai Jingpo Autonomous Prefecture</v>
      </c>
      <c r="E2874" s="1" t="s">
        <v>2642</v>
      </c>
      <c r="F2874" s="1" t="str">
        <f>IFERROR(__xludf.DUMMYFUNCTION("GOOGLETRANSLATE(E2874, ""zh-CN"", ""en"")"),"Longchuan County")</f>
        <v>Longchuan County</v>
      </c>
      <c r="G2874" s="1">
        <v>5.33124E11</v>
      </c>
    </row>
    <row r="2875">
      <c r="A2875" s="1" t="s">
        <v>2504</v>
      </c>
      <c r="B2875" s="1" t="str">
        <f>IFERROR(__xludf.DUMMYFUNCTION("GOOGLETRANSLATE(A2801, ""zh-CN"", ""en"")"),"Yunnan Province")</f>
        <v>Yunnan Province</v>
      </c>
      <c r="C2875" s="1" t="s">
        <v>2519</v>
      </c>
      <c r="D2875" s="1" t="str">
        <f>IFERROR(__xludf.DUMMYFUNCTION("GOOGLETRANSLATE(C2875, ""zh-CN"", ""en"")"),"Nujiang Ling Autonomous Prefecture")</f>
        <v>Nujiang Ling Autonomous Prefecture</v>
      </c>
      <c r="E2875" s="1" t="s">
        <v>2643</v>
      </c>
      <c r="F2875" s="1" t="str">
        <f>IFERROR(__xludf.DUMMYFUNCTION("GOOGLETRANSLATE(E2875, ""zh-CN"", ""en"")"),"Lishui City")</f>
        <v>Lishui City</v>
      </c>
      <c r="G2875" s="1">
        <v>5.33301E11</v>
      </c>
    </row>
    <row r="2876">
      <c r="A2876" s="1" t="s">
        <v>2504</v>
      </c>
      <c r="B2876" s="1" t="str">
        <f>IFERROR(__xludf.DUMMYFUNCTION("GOOGLETRANSLATE(A2802, ""zh-CN"", ""en"")"),"Yunnan Province")</f>
        <v>Yunnan Province</v>
      </c>
      <c r="C2876" s="1" t="s">
        <v>2519</v>
      </c>
      <c r="D2876" s="1" t="str">
        <f>IFERROR(__xludf.DUMMYFUNCTION("GOOGLETRANSLATE(C2876, ""zh-CN"", ""en"")"),"Nujiang Ling Autonomous Prefecture")</f>
        <v>Nujiang Ling Autonomous Prefecture</v>
      </c>
      <c r="E2876" s="1" t="s">
        <v>2644</v>
      </c>
      <c r="F2876" s="1" t="str">
        <f>IFERROR(__xludf.DUMMYFUNCTION("GOOGLETRANSLATE(E2876, ""zh-CN"", ""en"")"),"Figong County")</f>
        <v>Figong County</v>
      </c>
      <c r="G2876" s="1">
        <v>5.33323E11</v>
      </c>
    </row>
    <row r="2877">
      <c r="A2877" s="1" t="s">
        <v>2504</v>
      </c>
      <c r="B2877" s="1" t="str">
        <f>IFERROR(__xludf.DUMMYFUNCTION("GOOGLETRANSLATE(A2803, ""zh-CN"", ""en"")"),"Yunnan Province")</f>
        <v>Yunnan Province</v>
      </c>
      <c r="C2877" s="1" t="s">
        <v>2519</v>
      </c>
      <c r="D2877" s="1" t="str">
        <f>IFERROR(__xludf.DUMMYFUNCTION("GOOGLETRANSLATE(C2877, ""zh-CN"", ""en"")"),"Nujiang Ling Autonomous Prefecture")</f>
        <v>Nujiang Ling Autonomous Prefecture</v>
      </c>
      <c r="E2877" s="1" t="s">
        <v>2645</v>
      </c>
      <c r="F2877" s="1" t="str">
        <f>IFERROR(__xludf.DUMMYFUNCTION("GOOGLETRANSLATE(E2877, ""zh-CN"", ""en"")"),"Gongshan Dulong Nu Nu Autonomous County")</f>
        <v>Gongshan Dulong Nu Nu Autonomous County</v>
      </c>
      <c r="G2877" s="1">
        <v>5.33324E11</v>
      </c>
    </row>
    <row r="2878">
      <c r="A2878" s="1" t="s">
        <v>2504</v>
      </c>
      <c r="B2878" s="1" t="str">
        <f>IFERROR(__xludf.DUMMYFUNCTION("GOOGLETRANSLATE(A2804, ""zh-CN"", ""en"")"),"Yunnan Province")</f>
        <v>Yunnan Province</v>
      </c>
      <c r="C2878" s="1" t="s">
        <v>2519</v>
      </c>
      <c r="D2878" s="1" t="str">
        <f>IFERROR(__xludf.DUMMYFUNCTION("GOOGLETRANSLATE(C2878, ""zh-CN"", ""en"")"),"Nujiang Ling Autonomous Prefecture")</f>
        <v>Nujiang Ling Autonomous Prefecture</v>
      </c>
      <c r="E2878" s="1" t="s">
        <v>2646</v>
      </c>
      <c r="F2878" s="1" t="str">
        <f>IFERROR(__xludf.DUMMYFUNCTION("GOOGLETRANSLATE(E2878, ""zh-CN"", ""en"")"),"Lanping Bai people Pumen Autonomous County")</f>
        <v>Lanping Bai people Pumen Autonomous County</v>
      </c>
      <c r="G2878" s="1">
        <v>5.33325E11</v>
      </c>
    </row>
    <row r="2879">
      <c r="A2879" s="1" t="s">
        <v>2504</v>
      </c>
      <c r="B2879" s="1" t="str">
        <f>IFERROR(__xludf.DUMMYFUNCTION("GOOGLETRANSLATE(A2805, ""zh-CN"", ""en"")"),"Yunnan Province")</f>
        <v>Yunnan Province</v>
      </c>
      <c r="C2879" s="1" t="s">
        <v>2520</v>
      </c>
      <c r="D2879" s="1" t="str">
        <f>IFERROR(__xludf.DUMMYFUNCTION("GOOGLETRANSLATE(C2879, ""zh-CN"", ""en"")"),"Diqing Tibetan Autonomous Prefecture")</f>
        <v>Diqing Tibetan Autonomous Prefecture</v>
      </c>
      <c r="E2879" s="1" t="s">
        <v>2647</v>
      </c>
      <c r="F2879" s="1" t="str">
        <f>IFERROR(__xludf.DUMMYFUNCTION("GOOGLETRANSLATE(E2879, ""zh-CN"", ""en"")"),"Shangri -La City")</f>
        <v>Shangri -La City</v>
      </c>
      <c r="G2879" s="1">
        <v>5.33401E11</v>
      </c>
    </row>
    <row r="2880">
      <c r="A2880" s="1" t="s">
        <v>2504</v>
      </c>
      <c r="B2880" s="1" t="str">
        <f>IFERROR(__xludf.DUMMYFUNCTION("GOOGLETRANSLATE(A2806, ""zh-CN"", ""en"")"),"Yunnan Province")</f>
        <v>Yunnan Province</v>
      </c>
      <c r="C2880" s="1" t="s">
        <v>2520</v>
      </c>
      <c r="D2880" s="1" t="str">
        <f>IFERROR(__xludf.DUMMYFUNCTION("GOOGLETRANSLATE(C2880, ""zh-CN"", ""en"")"),"Diqing Tibetan Autonomous Prefecture")</f>
        <v>Diqing Tibetan Autonomous Prefecture</v>
      </c>
      <c r="E2880" s="1" t="s">
        <v>2648</v>
      </c>
      <c r="F2880" s="1" t="str">
        <f>IFERROR(__xludf.DUMMYFUNCTION("GOOGLETRANSLATE(E2880, ""zh-CN"", ""en"")"),"Deqin County")</f>
        <v>Deqin County</v>
      </c>
      <c r="G2880" s="1">
        <v>5.33422E11</v>
      </c>
    </row>
    <row r="2881">
      <c r="A2881" s="1" t="s">
        <v>2504</v>
      </c>
      <c r="B2881" s="1" t="str">
        <f>IFERROR(__xludf.DUMMYFUNCTION("GOOGLETRANSLATE(A2807, ""zh-CN"", ""en"")"),"Yunnan Province")</f>
        <v>Yunnan Province</v>
      </c>
      <c r="C2881" s="1" t="s">
        <v>2520</v>
      </c>
      <c r="D2881" s="1" t="str">
        <f>IFERROR(__xludf.DUMMYFUNCTION("GOOGLETRANSLATE(C2881, ""zh-CN"", ""en"")"),"Diqing Tibetan Autonomous Prefecture")</f>
        <v>Diqing Tibetan Autonomous Prefecture</v>
      </c>
      <c r="E2881" s="1" t="s">
        <v>2649</v>
      </c>
      <c r="F2881" s="1" t="str">
        <f>IFERROR(__xludf.DUMMYFUNCTION("GOOGLETRANSLATE(E2881, ""zh-CN"", ""en"")"),"Weixi Lang Autonomous County")</f>
        <v>Weixi Lang Autonomous County</v>
      </c>
      <c r="G2881" s="1">
        <v>5.33423E11</v>
      </c>
    </row>
    <row r="2882">
      <c r="A2882" s="1" t="s">
        <v>2650</v>
      </c>
      <c r="B2882" s="1" t="str">
        <f>IFERROR(__xludf.DUMMYFUNCTION("GOOGLETRANSLATE(A2808, ""zh-CN"", ""en"")"),"Yunnan Province")</f>
        <v>Yunnan Province</v>
      </c>
      <c r="C2882" s="1" t="s">
        <v>8</v>
      </c>
      <c r="D2882" s="1" t="str">
        <f>IFERROR(__xludf.DUMMYFUNCTION("GOOGLETRANSLATE(C2882, ""zh-CN"", ""en"")"),"Na")</f>
        <v>Na</v>
      </c>
      <c r="E2882" s="1" t="s">
        <v>8</v>
      </c>
      <c r="F2882" s="1" t="str">
        <f>IFERROR(__xludf.DUMMYFUNCTION("GOOGLETRANSLATE(E2882, ""zh-CN"", ""en"")"),"Na")</f>
        <v>Na</v>
      </c>
      <c r="G2882" s="1">
        <v>61.0</v>
      </c>
    </row>
    <row r="2883">
      <c r="A2883" s="1" t="s">
        <v>2650</v>
      </c>
      <c r="B2883" s="1" t="str">
        <f>IFERROR(__xludf.DUMMYFUNCTION("GOOGLETRANSLATE(A2809, ""zh-CN"", ""en"")"),"Yunnan Province")</f>
        <v>Yunnan Province</v>
      </c>
      <c r="C2883" s="1" t="s">
        <v>2651</v>
      </c>
      <c r="D2883" s="1" t="str">
        <f>IFERROR(__xludf.DUMMYFUNCTION("GOOGLETRANSLATE(C2883, ""zh-CN"", ""en"")"),"Xi'an")</f>
        <v>Xi'an</v>
      </c>
      <c r="E2883" s="1" t="s">
        <v>8</v>
      </c>
      <c r="F2883" s="1" t="str">
        <f>IFERROR(__xludf.DUMMYFUNCTION("GOOGLETRANSLATE(E2883, ""zh-CN"", ""en"")"),"Na")</f>
        <v>Na</v>
      </c>
      <c r="G2883" s="1">
        <v>6.101E11</v>
      </c>
    </row>
    <row r="2884">
      <c r="A2884" s="1" t="s">
        <v>2650</v>
      </c>
      <c r="B2884" s="1" t="str">
        <f>IFERROR(__xludf.DUMMYFUNCTION("GOOGLETRANSLATE(A2810, ""zh-CN"", ""en"")"),"Yunnan Province")</f>
        <v>Yunnan Province</v>
      </c>
      <c r="C2884" s="1" t="s">
        <v>2652</v>
      </c>
      <c r="D2884" s="1" t="str">
        <f>IFERROR(__xludf.DUMMYFUNCTION("GOOGLETRANSLATE(C2884, ""zh-CN"", ""en"")"),"Tongchuan City")</f>
        <v>Tongchuan City</v>
      </c>
      <c r="E2884" s="1" t="s">
        <v>8</v>
      </c>
      <c r="F2884" s="1" t="str">
        <f>IFERROR(__xludf.DUMMYFUNCTION("GOOGLETRANSLATE(E2884, ""zh-CN"", ""en"")"),"Na")</f>
        <v>Na</v>
      </c>
      <c r="G2884" s="1">
        <v>6.102E11</v>
      </c>
    </row>
    <row r="2885">
      <c r="A2885" s="1" t="s">
        <v>2650</v>
      </c>
      <c r="B2885" s="1" t="str">
        <f>IFERROR(__xludf.DUMMYFUNCTION("GOOGLETRANSLATE(A2811, ""zh-CN"", ""en"")"),"Yunnan Province")</f>
        <v>Yunnan Province</v>
      </c>
      <c r="C2885" s="1" t="s">
        <v>2653</v>
      </c>
      <c r="D2885" s="1" t="str">
        <f>IFERROR(__xludf.DUMMYFUNCTION("GOOGLETRANSLATE(C2885, ""zh-CN"", ""en"")"),"Baoji City")</f>
        <v>Baoji City</v>
      </c>
      <c r="E2885" s="1" t="s">
        <v>8</v>
      </c>
      <c r="F2885" s="1" t="str">
        <f>IFERROR(__xludf.DUMMYFUNCTION("GOOGLETRANSLATE(E2885, ""zh-CN"", ""en"")"),"Na")</f>
        <v>Na</v>
      </c>
      <c r="G2885" s="1">
        <v>6.103E11</v>
      </c>
    </row>
    <row r="2886">
      <c r="A2886" s="1" t="s">
        <v>2650</v>
      </c>
      <c r="B2886" s="1" t="str">
        <f>IFERROR(__xludf.DUMMYFUNCTION("GOOGLETRANSLATE(A2812, ""zh-CN"", ""en"")"),"Yunnan Province")</f>
        <v>Yunnan Province</v>
      </c>
      <c r="C2886" s="1" t="s">
        <v>2654</v>
      </c>
      <c r="D2886" s="1" t="str">
        <f>IFERROR(__xludf.DUMMYFUNCTION("GOOGLETRANSLATE(C2886, ""zh-CN"", ""en"")"),"Xianyang City")</f>
        <v>Xianyang City</v>
      </c>
      <c r="E2886" s="1" t="s">
        <v>8</v>
      </c>
      <c r="F2886" s="1" t="str">
        <f>IFERROR(__xludf.DUMMYFUNCTION("GOOGLETRANSLATE(E2886, ""zh-CN"", ""en"")"),"Na")</f>
        <v>Na</v>
      </c>
      <c r="G2886" s="1">
        <v>6.104E11</v>
      </c>
    </row>
    <row r="2887">
      <c r="A2887" s="1" t="s">
        <v>2650</v>
      </c>
      <c r="B2887" s="1" t="str">
        <f>IFERROR(__xludf.DUMMYFUNCTION("GOOGLETRANSLATE(A2813, ""zh-CN"", ""en"")"),"Yunnan Province")</f>
        <v>Yunnan Province</v>
      </c>
      <c r="C2887" s="1" t="s">
        <v>2655</v>
      </c>
      <c r="D2887" s="1" t="str">
        <f>IFERROR(__xludf.DUMMYFUNCTION("GOOGLETRANSLATE(C2887, ""zh-CN"", ""en"")"),"Weinan City")</f>
        <v>Weinan City</v>
      </c>
      <c r="E2887" s="1" t="s">
        <v>8</v>
      </c>
      <c r="F2887" s="1" t="str">
        <f>IFERROR(__xludf.DUMMYFUNCTION("GOOGLETRANSLATE(E2887, ""zh-CN"", ""en"")"),"Na")</f>
        <v>Na</v>
      </c>
      <c r="G2887" s="1">
        <v>6.105E11</v>
      </c>
    </row>
    <row r="2888">
      <c r="A2888" s="1" t="s">
        <v>2650</v>
      </c>
      <c r="B2888" s="1" t="str">
        <f>IFERROR(__xludf.DUMMYFUNCTION("GOOGLETRANSLATE(A2814, ""zh-CN"", ""en"")"),"Yunnan Province")</f>
        <v>Yunnan Province</v>
      </c>
      <c r="C2888" s="1" t="s">
        <v>2656</v>
      </c>
      <c r="D2888" s="1" t="str">
        <f>IFERROR(__xludf.DUMMYFUNCTION("GOOGLETRANSLATE(C2888, ""zh-CN"", ""en"")"),"Yan'an City")</f>
        <v>Yan'an City</v>
      </c>
      <c r="E2888" s="1" t="s">
        <v>8</v>
      </c>
      <c r="F2888" s="1" t="str">
        <f>IFERROR(__xludf.DUMMYFUNCTION("GOOGLETRANSLATE(E2888, ""zh-CN"", ""en"")"),"Na")</f>
        <v>Na</v>
      </c>
      <c r="G2888" s="1">
        <v>6.106E11</v>
      </c>
    </row>
    <row r="2889">
      <c r="A2889" s="1" t="s">
        <v>2650</v>
      </c>
      <c r="B2889" s="1" t="str">
        <f>IFERROR(__xludf.DUMMYFUNCTION("GOOGLETRANSLATE(A2815, ""zh-CN"", ""en"")"),"Yunnan Province")</f>
        <v>Yunnan Province</v>
      </c>
      <c r="C2889" s="1" t="s">
        <v>2657</v>
      </c>
      <c r="D2889" s="1" t="str">
        <f>IFERROR(__xludf.DUMMYFUNCTION("GOOGLETRANSLATE(C2889, ""zh-CN"", ""en"")"),"Hanzhong City")</f>
        <v>Hanzhong City</v>
      </c>
      <c r="E2889" s="1" t="s">
        <v>8</v>
      </c>
      <c r="F2889" s="1" t="str">
        <f>IFERROR(__xludf.DUMMYFUNCTION("GOOGLETRANSLATE(E2889, ""zh-CN"", ""en"")"),"Na")</f>
        <v>Na</v>
      </c>
      <c r="G2889" s="1">
        <v>6.107E11</v>
      </c>
    </row>
    <row r="2890">
      <c r="A2890" s="1" t="s">
        <v>2650</v>
      </c>
      <c r="B2890" s="1" t="str">
        <f>IFERROR(__xludf.DUMMYFUNCTION("GOOGLETRANSLATE(A2816, ""zh-CN"", ""en"")"),"Yunnan Province")</f>
        <v>Yunnan Province</v>
      </c>
      <c r="C2890" s="1" t="s">
        <v>2658</v>
      </c>
      <c r="D2890" s="1" t="str">
        <f>IFERROR(__xludf.DUMMYFUNCTION("GOOGLETRANSLATE(C2890, ""zh-CN"", ""en"")"),"Yulin City")</f>
        <v>Yulin City</v>
      </c>
      <c r="E2890" s="1" t="s">
        <v>8</v>
      </c>
      <c r="F2890" s="1" t="str">
        <f>IFERROR(__xludf.DUMMYFUNCTION("GOOGLETRANSLATE(E2890, ""zh-CN"", ""en"")"),"Na")</f>
        <v>Na</v>
      </c>
      <c r="G2890" s="1">
        <v>6.108E11</v>
      </c>
    </row>
    <row r="2891">
      <c r="A2891" s="1" t="s">
        <v>2650</v>
      </c>
      <c r="B2891" s="1" t="str">
        <f>IFERROR(__xludf.DUMMYFUNCTION("GOOGLETRANSLATE(A2817, ""zh-CN"", ""en"")"),"Yunnan Province")</f>
        <v>Yunnan Province</v>
      </c>
      <c r="C2891" s="1" t="s">
        <v>2659</v>
      </c>
      <c r="D2891" s="1" t="str">
        <f>IFERROR(__xludf.DUMMYFUNCTION("GOOGLETRANSLATE(C2891, ""zh-CN"", ""en"")"),"Ankang")</f>
        <v>Ankang</v>
      </c>
      <c r="E2891" s="1" t="s">
        <v>8</v>
      </c>
      <c r="F2891" s="1" t="str">
        <f>IFERROR(__xludf.DUMMYFUNCTION("GOOGLETRANSLATE(E2891, ""zh-CN"", ""en"")"),"Na")</f>
        <v>Na</v>
      </c>
      <c r="G2891" s="1">
        <v>6.109E11</v>
      </c>
    </row>
    <row r="2892">
      <c r="A2892" s="1" t="s">
        <v>2650</v>
      </c>
      <c r="B2892" s="1" t="str">
        <f>IFERROR(__xludf.DUMMYFUNCTION("GOOGLETRANSLATE(A2818, ""zh-CN"", ""en"")"),"Yunnan Province")</f>
        <v>Yunnan Province</v>
      </c>
      <c r="C2892" s="1" t="s">
        <v>2660</v>
      </c>
      <c r="D2892" s="1" t="str">
        <f>IFERROR(__xludf.DUMMYFUNCTION("GOOGLETRANSLATE(C2892, ""zh-CN"", ""en"")"),"Shangluo City")</f>
        <v>Shangluo City</v>
      </c>
      <c r="E2892" s="1" t="s">
        <v>8</v>
      </c>
      <c r="F2892" s="1" t="str">
        <f>IFERROR(__xludf.DUMMYFUNCTION("GOOGLETRANSLATE(E2892, ""zh-CN"", ""en"")"),"Na")</f>
        <v>Na</v>
      </c>
      <c r="G2892" s="1">
        <v>6.11E11</v>
      </c>
    </row>
    <row r="2893">
      <c r="A2893" s="1" t="s">
        <v>2650</v>
      </c>
      <c r="B2893" s="1" t="str">
        <f>IFERROR(__xludf.DUMMYFUNCTION("GOOGLETRANSLATE(A2819, ""zh-CN"", ""en"")"),"Yunnan Province")</f>
        <v>Yunnan Province</v>
      </c>
      <c r="C2893" s="1" t="s">
        <v>2651</v>
      </c>
      <c r="D2893" s="1" t="str">
        <f>IFERROR(__xludf.DUMMYFUNCTION("GOOGLETRANSLATE(C2893, ""zh-CN"", ""en"")"),"Xi'an")</f>
        <v>Xi'an</v>
      </c>
      <c r="E2893" s="1" t="s">
        <v>24</v>
      </c>
      <c r="F2893" s="1" t="str">
        <f>IFERROR(__xludf.DUMMYFUNCTION("GOOGLETRANSLATE(E2893, ""zh-CN"", ""en"")"),"City area")</f>
        <v>City area</v>
      </c>
      <c r="G2893" s="1">
        <v>6.10101E11</v>
      </c>
    </row>
    <row r="2894">
      <c r="A2894" s="1" t="s">
        <v>2650</v>
      </c>
      <c r="B2894" s="1" t="str">
        <f>IFERROR(__xludf.DUMMYFUNCTION("GOOGLETRANSLATE(A2820, ""zh-CN"", ""en"")"),"Yunnan Province")</f>
        <v>Yunnan Province</v>
      </c>
      <c r="C2894" s="1" t="s">
        <v>2651</v>
      </c>
      <c r="D2894" s="1" t="str">
        <f>IFERROR(__xludf.DUMMYFUNCTION("GOOGLETRANSLATE(C2894, ""zh-CN"", ""en"")"),"Xi'an")</f>
        <v>Xi'an</v>
      </c>
      <c r="E2894" s="1" t="s">
        <v>2318</v>
      </c>
      <c r="F2894" s="1" t="str">
        <f>IFERROR(__xludf.DUMMYFUNCTION("GOOGLETRANSLATE(E2894, ""zh-CN"", ""en"")"),"New town area")</f>
        <v>New town area</v>
      </c>
      <c r="G2894" s="1">
        <v>6.10102E11</v>
      </c>
    </row>
    <row r="2895">
      <c r="A2895" s="1" t="s">
        <v>2650</v>
      </c>
      <c r="B2895" s="1" t="str">
        <f>IFERROR(__xludf.DUMMYFUNCTION("GOOGLETRANSLATE(A2821, ""zh-CN"", ""en"")"),"Yunnan Province")</f>
        <v>Yunnan Province</v>
      </c>
      <c r="C2895" s="1" t="s">
        <v>2651</v>
      </c>
      <c r="D2895" s="1" t="str">
        <f>IFERROR(__xludf.DUMMYFUNCTION("GOOGLETRANSLATE(C2895, ""zh-CN"", ""en"")"),"Xi'an")</f>
        <v>Xi'an</v>
      </c>
      <c r="E2895" s="1" t="s">
        <v>2661</v>
      </c>
      <c r="F2895" s="1" t="str">
        <f>IFERROR(__xludf.DUMMYFUNCTION("GOOGLETRANSLATE(E2895, ""zh-CN"", ""en"")"),"Beilin District")</f>
        <v>Beilin District</v>
      </c>
      <c r="G2895" s="1">
        <v>6.10103E11</v>
      </c>
    </row>
    <row r="2896">
      <c r="A2896" s="1" t="s">
        <v>2650</v>
      </c>
      <c r="B2896" s="1" t="str">
        <f>IFERROR(__xludf.DUMMYFUNCTION("GOOGLETRANSLATE(A2822, ""zh-CN"", ""en"")"),"Yunnan Province")</f>
        <v>Yunnan Province</v>
      </c>
      <c r="C2896" s="1" t="s">
        <v>2651</v>
      </c>
      <c r="D2896" s="1" t="str">
        <f>IFERROR(__xludf.DUMMYFUNCTION("GOOGLETRANSLATE(C2896, ""zh-CN"", ""en"")"),"Xi'an")</f>
        <v>Xi'an</v>
      </c>
      <c r="E2896" s="1" t="s">
        <v>2662</v>
      </c>
      <c r="F2896" s="1" t="str">
        <f>IFERROR(__xludf.DUMMYFUNCTION("GOOGLETRANSLATE(E2896, ""zh-CN"", ""en"")"),"Lianhu District")</f>
        <v>Lianhu District</v>
      </c>
      <c r="G2896" s="1">
        <v>6.10104E11</v>
      </c>
    </row>
    <row r="2897">
      <c r="A2897" s="1" t="s">
        <v>2650</v>
      </c>
      <c r="B2897" s="1" t="str">
        <f>IFERROR(__xludf.DUMMYFUNCTION("GOOGLETRANSLATE(A2823, ""zh-CN"", ""en"")"),"Yunnan Province")</f>
        <v>Yunnan Province</v>
      </c>
      <c r="C2897" s="1" t="s">
        <v>2651</v>
      </c>
      <c r="D2897" s="1" t="str">
        <f>IFERROR(__xludf.DUMMYFUNCTION("GOOGLETRANSLATE(C2897, ""zh-CN"", ""en"")"),"Xi'an")</f>
        <v>Xi'an</v>
      </c>
      <c r="E2897" s="1" t="s">
        <v>2663</v>
      </c>
      <c r="F2897" s="1" t="str">
        <f>IFERROR(__xludf.DUMMYFUNCTION("GOOGLETRANSLATE(E2897, ""zh-CN"", ""en"")"),"Qiaoqiao District")</f>
        <v>Qiaoqiao District</v>
      </c>
      <c r="G2897" s="1">
        <v>6.10111E11</v>
      </c>
    </row>
    <row r="2898">
      <c r="A2898" s="1" t="s">
        <v>2650</v>
      </c>
      <c r="B2898" s="1" t="str">
        <f>IFERROR(__xludf.DUMMYFUNCTION("GOOGLETRANSLATE(A2824, ""zh-CN"", ""en"")"),"Yunnan Province")</f>
        <v>Yunnan Province</v>
      </c>
      <c r="C2898" s="1" t="s">
        <v>2651</v>
      </c>
      <c r="D2898" s="1" t="str">
        <f>IFERROR(__xludf.DUMMYFUNCTION("GOOGLETRANSLATE(C2898, ""zh-CN"", ""en"")"),"Xi'an")</f>
        <v>Xi'an</v>
      </c>
      <c r="E2898" s="1" t="s">
        <v>2664</v>
      </c>
      <c r="F2898" s="1" t="str">
        <f>IFERROR(__xludf.DUMMYFUNCTION("GOOGLETRANSLATE(E2898, ""zh-CN"", ""en"")"),"Weiyang District")</f>
        <v>Weiyang District</v>
      </c>
      <c r="G2898" s="1">
        <v>6.10112E11</v>
      </c>
    </row>
    <row r="2899">
      <c r="A2899" s="1" t="s">
        <v>2650</v>
      </c>
      <c r="B2899" s="1" t="str">
        <f>IFERROR(__xludf.DUMMYFUNCTION("GOOGLETRANSLATE(A2825, ""zh-CN"", ""en"")"),"Yunnan Province")</f>
        <v>Yunnan Province</v>
      </c>
      <c r="C2899" s="1" t="s">
        <v>2651</v>
      </c>
      <c r="D2899" s="1" t="str">
        <f>IFERROR(__xludf.DUMMYFUNCTION("GOOGLETRANSLATE(C2899, ""zh-CN"", ""en"")"),"Xi'an")</f>
        <v>Xi'an</v>
      </c>
      <c r="E2899" s="1" t="s">
        <v>2665</v>
      </c>
      <c r="F2899" s="1" t="str">
        <f>IFERROR(__xludf.DUMMYFUNCTION("GOOGLETRANSLATE(E2899, ""zh-CN"", ""en"")"),"Yanta District")</f>
        <v>Yanta District</v>
      </c>
      <c r="G2899" s="1">
        <v>6.10113E11</v>
      </c>
    </row>
    <row r="2900">
      <c r="A2900" s="1" t="s">
        <v>2650</v>
      </c>
      <c r="B2900" s="1" t="str">
        <f>IFERROR(__xludf.DUMMYFUNCTION("GOOGLETRANSLATE(A2826, ""zh-CN"", ""en"")"),"Yunnan Province")</f>
        <v>Yunnan Province</v>
      </c>
      <c r="C2900" s="1" t="s">
        <v>2651</v>
      </c>
      <c r="D2900" s="1" t="str">
        <f>IFERROR(__xludf.DUMMYFUNCTION("GOOGLETRANSLATE(C2900, ""zh-CN"", ""en"")"),"Xi'an")</f>
        <v>Xi'an</v>
      </c>
      <c r="E2900" s="1" t="s">
        <v>2666</v>
      </c>
      <c r="F2900" s="1" t="str">
        <f>IFERROR(__xludf.DUMMYFUNCTION("GOOGLETRANSLATE(E2900, ""zh-CN"", ""en"")"),"Yanliang District")</f>
        <v>Yanliang District</v>
      </c>
      <c r="G2900" s="1">
        <v>6.10114E11</v>
      </c>
    </row>
    <row r="2901">
      <c r="A2901" s="1" t="s">
        <v>2650</v>
      </c>
      <c r="B2901" s="1" t="str">
        <f>IFERROR(__xludf.DUMMYFUNCTION("GOOGLETRANSLATE(A2827, ""zh-CN"", ""en"")"),"Yunnan Province")</f>
        <v>Yunnan Province</v>
      </c>
      <c r="C2901" s="1" t="s">
        <v>2651</v>
      </c>
      <c r="D2901" s="1" t="str">
        <f>IFERROR(__xludf.DUMMYFUNCTION("GOOGLETRANSLATE(C2901, ""zh-CN"", ""en"")"),"Xi'an")</f>
        <v>Xi'an</v>
      </c>
      <c r="E2901" s="1" t="s">
        <v>2667</v>
      </c>
      <c r="F2901" s="1" t="str">
        <f>IFERROR(__xludf.DUMMYFUNCTION("GOOGLETRANSLATE(E2901, ""zh-CN"", ""en"")"),"Lintong District")</f>
        <v>Lintong District</v>
      </c>
      <c r="G2901" s="1">
        <v>6.10115E11</v>
      </c>
    </row>
    <row r="2902">
      <c r="A2902" s="1" t="s">
        <v>2650</v>
      </c>
      <c r="B2902" s="1" t="str">
        <f>IFERROR(__xludf.DUMMYFUNCTION("GOOGLETRANSLATE(A2828, ""zh-CN"", ""en"")"),"Yunnan Province")</f>
        <v>Yunnan Province</v>
      </c>
      <c r="C2902" s="1" t="s">
        <v>2651</v>
      </c>
      <c r="D2902" s="1" t="str">
        <f>IFERROR(__xludf.DUMMYFUNCTION("GOOGLETRANSLATE(C2902, ""zh-CN"", ""en"")"),"Xi'an")</f>
        <v>Xi'an</v>
      </c>
      <c r="E2902" s="1" t="s">
        <v>1154</v>
      </c>
      <c r="F2902" s="1" t="str">
        <f>IFERROR(__xludf.DUMMYFUNCTION("GOOGLETRANSLATE(E2902, ""zh-CN"", ""en"")"),"Chang'an District")</f>
        <v>Chang'an District</v>
      </c>
      <c r="G2902" s="1">
        <v>6.10116E11</v>
      </c>
    </row>
    <row r="2903">
      <c r="A2903" s="1" t="s">
        <v>2650</v>
      </c>
      <c r="B2903" s="1" t="str">
        <f>IFERROR(__xludf.DUMMYFUNCTION("GOOGLETRANSLATE(A2829, ""zh-CN"", ""en"")"),"Yunnan Province")</f>
        <v>Yunnan Province</v>
      </c>
      <c r="C2903" s="1" t="s">
        <v>2651</v>
      </c>
      <c r="D2903" s="1" t="str">
        <f>IFERROR(__xludf.DUMMYFUNCTION("GOOGLETRANSLATE(C2903, ""zh-CN"", ""en"")"),"Xi'an")</f>
        <v>Xi'an</v>
      </c>
      <c r="E2903" s="1" t="s">
        <v>2668</v>
      </c>
      <c r="F2903" s="1" t="str">
        <f>IFERROR(__xludf.DUMMYFUNCTION("GOOGLETRANSLATE(E2903, ""zh-CN"", ""en"")"),"Gauling District")</f>
        <v>Gauling District</v>
      </c>
      <c r="G2903" s="1">
        <v>6.10117E11</v>
      </c>
    </row>
    <row r="2904">
      <c r="A2904" s="1" t="s">
        <v>2650</v>
      </c>
      <c r="B2904" s="1" t="str">
        <f>IFERROR(__xludf.DUMMYFUNCTION("GOOGLETRANSLATE(A2830, ""zh-CN"", ""en"")"),"Yunnan Province")</f>
        <v>Yunnan Province</v>
      </c>
      <c r="C2904" s="1" t="s">
        <v>2651</v>
      </c>
      <c r="D2904" s="1" t="str">
        <f>IFERROR(__xludf.DUMMYFUNCTION("GOOGLETRANSLATE(C2904, ""zh-CN"", ""en"")"),"Xi'an")</f>
        <v>Xi'an</v>
      </c>
      <c r="E2904" s="1" t="s">
        <v>2669</v>
      </c>
      <c r="F2904" s="1" t="str">
        <f>IFERROR(__xludf.DUMMYFUNCTION("GOOGLETRANSLATE(E2904, ""zh-CN"", ""en"")"),"Yiyi District")</f>
        <v>Yiyi District</v>
      </c>
      <c r="G2904" s="1">
        <v>6.10118E11</v>
      </c>
    </row>
    <row r="2905">
      <c r="A2905" s="1" t="s">
        <v>2650</v>
      </c>
      <c r="B2905" s="1" t="str">
        <f>IFERROR(__xludf.DUMMYFUNCTION("GOOGLETRANSLATE(A2831, ""zh-CN"", ""en"")"),"Yunnan Province")</f>
        <v>Yunnan Province</v>
      </c>
      <c r="C2905" s="1" t="s">
        <v>2651</v>
      </c>
      <c r="D2905" s="1" t="str">
        <f>IFERROR(__xludf.DUMMYFUNCTION("GOOGLETRANSLATE(C2905, ""zh-CN"", ""en"")"),"Xi'an")</f>
        <v>Xi'an</v>
      </c>
      <c r="E2905" s="1" t="s">
        <v>2670</v>
      </c>
      <c r="F2905" s="1" t="str">
        <f>IFERROR(__xludf.DUMMYFUNCTION("GOOGLETRANSLATE(E2905, ""zh-CN"", ""en"")"),"Lantian County")</f>
        <v>Lantian County</v>
      </c>
      <c r="G2905" s="1">
        <v>6.10122E11</v>
      </c>
    </row>
    <row r="2906">
      <c r="A2906" s="1" t="s">
        <v>2650</v>
      </c>
      <c r="B2906" s="1" t="str">
        <f>IFERROR(__xludf.DUMMYFUNCTION("GOOGLETRANSLATE(A2832, ""zh-CN"", ""en"")"),"Yunnan Province")</f>
        <v>Yunnan Province</v>
      </c>
      <c r="C2906" s="1" t="s">
        <v>2651</v>
      </c>
      <c r="D2906" s="1" t="str">
        <f>IFERROR(__xludf.DUMMYFUNCTION("GOOGLETRANSLATE(C2906, ""zh-CN"", ""en"")"),"Xi'an")</f>
        <v>Xi'an</v>
      </c>
      <c r="E2906" s="1" t="s">
        <v>2671</v>
      </c>
      <c r="F2906" s="1" t="str">
        <f>IFERROR(__xludf.DUMMYFUNCTION("GOOGLETRANSLATE(E2906, ""zh-CN"", ""en"")"),"Zhouzhi County")</f>
        <v>Zhouzhi County</v>
      </c>
      <c r="G2906" s="1">
        <v>6.10124E11</v>
      </c>
    </row>
    <row r="2907">
      <c r="A2907" s="1" t="s">
        <v>2650</v>
      </c>
      <c r="B2907" s="1" t="str">
        <f>IFERROR(__xludf.DUMMYFUNCTION("GOOGLETRANSLATE(A2833, ""zh-CN"", ""en"")"),"Yunnan Province")</f>
        <v>Yunnan Province</v>
      </c>
      <c r="C2907" s="1" t="s">
        <v>2652</v>
      </c>
      <c r="D2907" s="1" t="str">
        <f>IFERROR(__xludf.DUMMYFUNCTION("GOOGLETRANSLATE(C2907, ""zh-CN"", ""en"")"),"Tongchuan City")</f>
        <v>Tongchuan City</v>
      </c>
      <c r="E2907" s="1" t="s">
        <v>24</v>
      </c>
      <c r="F2907" s="1" t="str">
        <f>IFERROR(__xludf.DUMMYFUNCTION("GOOGLETRANSLATE(E2907, ""zh-CN"", ""en"")"),"City area")</f>
        <v>City area</v>
      </c>
      <c r="G2907" s="1">
        <v>6.10201E11</v>
      </c>
    </row>
    <row r="2908">
      <c r="A2908" s="1" t="s">
        <v>2650</v>
      </c>
      <c r="B2908" s="1" t="str">
        <f>IFERROR(__xludf.DUMMYFUNCTION("GOOGLETRANSLATE(A2834, ""zh-CN"", ""en"")"),"Yunnan Province")</f>
        <v>Yunnan Province</v>
      </c>
      <c r="C2908" s="1" t="s">
        <v>2652</v>
      </c>
      <c r="D2908" s="1" t="str">
        <f>IFERROR(__xludf.DUMMYFUNCTION("GOOGLETRANSLATE(C2908, ""zh-CN"", ""en"")"),"Tongchuan City")</f>
        <v>Tongchuan City</v>
      </c>
      <c r="E2908" s="1" t="s">
        <v>2672</v>
      </c>
      <c r="F2908" s="1" t="str">
        <f>IFERROR(__xludf.DUMMYFUNCTION("GOOGLETRANSLATE(E2908, ""zh-CN"", ""en"")"),"Wangyi District")</f>
        <v>Wangyi District</v>
      </c>
      <c r="G2908" s="1">
        <v>6.10202E11</v>
      </c>
    </row>
    <row r="2909">
      <c r="A2909" s="1" t="s">
        <v>2650</v>
      </c>
      <c r="B2909" s="1" t="str">
        <f>IFERROR(__xludf.DUMMYFUNCTION("GOOGLETRANSLATE(A2835, ""zh-CN"", ""en"")"),"Yunnan Province")</f>
        <v>Yunnan Province</v>
      </c>
      <c r="C2909" s="1" t="s">
        <v>2652</v>
      </c>
      <c r="D2909" s="1" t="str">
        <f>IFERROR(__xludf.DUMMYFUNCTION("GOOGLETRANSLATE(C2909, ""zh-CN"", ""en"")"),"Tongchuan City")</f>
        <v>Tongchuan City</v>
      </c>
      <c r="E2909" s="1" t="s">
        <v>2673</v>
      </c>
      <c r="F2909" s="1" t="str">
        <f>IFERROR(__xludf.DUMMYFUNCTION("GOOGLETRANSLATE(E2909, ""zh-CN"", ""en"")"),"Seal area")</f>
        <v>Seal area</v>
      </c>
      <c r="G2909" s="1">
        <v>6.10203E11</v>
      </c>
    </row>
    <row r="2910">
      <c r="A2910" s="1" t="s">
        <v>2650</v>
      </c>
      <c r="B2910" s="1" t="str">
        <f>IFERROR(__xludf.DUMMYFUNCTION("GOOGLETRANSLATE(A2836, ""zh-CN"", ""en"")"),"Yunnan Province")</f>
        <v>Yunnan Province</v>
      </c>
      <c r="C2910" s="1" t="s">
        <v>2652</v>
      </c>
      <c r="D2910" s="1" t="str">
        <f>IFERROR(__xludf.DUMMYFUNCTION("GOOGLETRANSLATE(C2910, ""zh-CN"", ""en"")"),"Tongchuan City")</f>
        <v>Tongchuan City</v>
      </c>
      <c r="E2910" s="1" t="s">
        <v>2674</v>
      </c>
      <c r="F2910" s="1" t="str">
        <f>IFERROR(__xludf.DUMMYFUNCTION("GOOGLETRANSLATE(E2910, ""zh-CN"", ""en"")"),"Yaozhou District")</f>
        <v>Yaozhou District</v>
      </c>
      <c r="G2910" s="1">
        <v>6.10204E11</v>
      </c>
    </row>
    <row r="2911">
      <c r="A2911" s="1" t="s">
        <v>2650</v>
      </c>
      <c r="B2911" s="1" t="str">
        <f>IFERROR(__xludf.DUMMYFUNCTION("GOOGLETRANSLATE(A2837, ""zh-CN"", ""en"")"),"Yunnan Province")</f>
        <v>Yunnan Province</v>
      </c>
      <c r="C2911" s="1" t="s">
        <v>2652</v>
      </c>
      <c r="D2911" s="1" t="str">
        <f>IFERROR(__xludf.DUMMYFUNCTION("GOOGLETRANSLATE(C2911, ""zh-CN"", ""en"")"),"Tongchuan City")</f>
        <v>Tongchuan City</v>
      </c>
      <c r="E2911" s="1" t="s">
        <v>2675</v>
      </c>
      <c r="F2911" s="1" t="str">
        <f>IFERROR(__xludf.DUMMYFUNCTION("GOOGLETRANSLATE(E2911, ""zh-CN"", ""en"")"),"Yijun County")</f>
        <v>Yijun County</v>
      </c>
      <c r="G2911" s="1">
        <v>6.10222E11</v>
      </c>
    </row>
    <row r="2912">
      <c r="A2912" s="1" t="s">
        <v>2650</v>
      </c>
      <c r="B2912" s="1" t="str">
        <f>IFERROR(__xludf.DUMMYFUNCTION("GOOGLETRANSLATE(A2838, ""zh-CN"", ""en"")"),"Yunnan Province")</f>
        <v>Yunnan Province</v>
      </c>
      <c r="C2912" s="1" t="s">
        <v>2653</v>
      </c>
      <c r="D2912" s="1" t="str">
        <f>IFERROR(__xludf.DUMMYFUNCTION("GOOGLETRANSLATE(C2912, ""zh-CN"", ""en"")"),"Baoji City")</f>
        <v>Baoji City</v>
      </c>
      <c r="E2912" s="1" t="s">
        <v>24</v>
      </c>
      <c r="F2912" s="1" t="str">
        <f>IFERROR(__xludf.DUMMYFUNCTION("GOOGLETRANSLATE(E2912, ""zh-CN"", ""en"")"),"City area")</f>
        <v>City area</v>
      </c>
      <c r="G2912" s="1">
        <v>6.10301E11</v>
      </c>
    </row>
    <row r="2913">
      <c r="A2913" s="1" t="s">
        <v>2650</v>
      </c>
      <c r="B2913" s="1" t="str">
        <f>IFERROR(__xludf.DUMMYFUNCTION("GOOGLETRANSLATE(A2839, ""zh-CN"", ""en"")"),"Yunnan Province")</f>
        <v>Yunnan Province</v>
      </c>
      <c r="C2913" s="1" t="s">
        <v>2653</v>
      </c>
      <c r="D2913" s="1" t="str">
        <f>IFERROR(__xludf.DUMMYFUNCTION("GOOGLETRANSLATE(C2913, ""zh-CN"", ""en"")"),"Baoji City")</f>
        <v>Baoji City</v>
      </c>
      <c r="E2913" s="1" t="s">
        <v>2676</v>
      </c>
      <c r="F2913" s="1" t="str">
        <f>IFERROR(__xludf.DUMMYFUNCTION("GOOGLETRANSLATE(E2913, ""zh-CN"", ""en"")"),"Weibin")</f>
        <v>Weibin</v>
      </c>
      <c r="G2913" s="1">
        <v>6.10302E11</v>
      </c>
    </row>
    <row r="2914">
      <c r="A2914" s="1" t="s">
        <v>2650</v>
      </c>
      <c r="B2914" s="1" t="str">
        <f>IFERROR(__xludf.DUMMYFUNCTION("GOOGLETRANSLATE(A2840, ""zh-CN"", ""en"")"),"Yunnan Province")</f>
        <v>Yunnan Province</v>
      </c>
      <c r="C2914" s="1" t="s">
        <v>2653</v>
      </c>
      <c r="D2914" s="1" t="str">
        <f>IFERROR(__xludf.DUMMYFUNCTION("GOOGLETRANSLATE(C2914, ""zh-CN"", ""en"")"),"Baoji City")</f>
        <v>Baoji City</v>
      </c>
      <c r="E2914" s="1" t="s">
        <v>2677</v>
      </c>
      <c r="F2914" s="1" t="str">
        <f>IFERROR(__xludf.DUMMYFUNCTION("GOOGLETRANSLATE(E2914, ""zh-CN"", ""en"")"),"Jintai District")</f>
        <v>Jintai District</v>
      </c>
      <c r="G2914" s="1">
        <v>6.10303E11</v>
      </c>
    </row>
    <row r="2915">
      <c r="A2915" s="1" t="s">
        <v>2650</v>
      </c>
      <c r="B2915" s="1" t="str">
        <f>IFERROR(__xludf.DUMMYFUNCTION("GOOGLETRANSLATE(A2841, ""zh-CN"", ""en"")"),"Yunnan Province")</f>
        <v>Yunnan Province</v>
      </c>
      <c r="C2915" s="1" t="s">
        <v>2653</v>
      </c>
      <c r="D2915" s="1" t="str">
        <f>IFERROR(__xludf.DUMMYFUNCTION("GOOGLETRANSLATE(C2915, ""zh-CN"", ""en"")"),"Baoji City")</f>
        <v>Baoji City</v>
      </c>
      <c r="E2915" s="1" t="s">
        <v>2678</v>
      </c>
      <c r="F2915" s="1" t="str">
        <f>IFERROR(__xludf.DUMMYFUNCTION("GOOGLETRANSLATE(E2915, ""zh-CN"", ""en"")"),"Chencang District")</f>
        <v>Chencang District</v>
      </c>
      <c r="G2915" s="1">
        <v>6.10304E11</v>
      </c>
    </row>
    <row r="2916">
      <c r="A2916" s="1" t="s">
        <v>2650</v>
      </c>
      <c r="B2916" s="1" t="str">
        <f>IFERROR(__xludf.DUMMYFUNCTION("GOOGLETRANSLATE(A2842, ""zh-CN"", ""en"")"),"Yunnan Province")</f>
        <v>Yunnan Province</v>
      </c>
      <c r="C2916" s="1" t="s">
        <v>2653</v>
      </c>
      <c r="D2916" s="1" t="str">
        <f>IFERROR(__xludf.DUMMYFUNCTION("GOOGLETRANSLATE(C2916, ""zh-CN"", ""en"")"),"Baoji City")</f>
        <v>Baoji City</v>
      </c>
      <c r="E2916" s="1" t="s">
        <v>2679</v>
      </c>
      <c r="F2916" s="1" t="str">
        <f>IFERROR(__xludf.DUMMYFUNCTION("GOOGLETRANSLATE(E2916, ""zh-CN"", ""en"")"),"Fengxiang District")</f>
        <v>Fengxiang District</v>
      </c>
      <c r="G2916" s="1">
        <v>6.10305E11</v>
      </c>
    </row>
    <row r="2917">
      <c r="A2917" s="1" t="s">
        <v>2650</v>
      </c>
      <c r="B2917" s="1" t="str">
        <f>IFERROR(__xludf.DUMMYFUNCTION("GOOGLETRANSLATE(A2843, ""zh-CN"", ""en"")"),"Yunnan Province")</f>
        <v>Yunnan Province</v>
      </c>
      <c r="C2917" s="1" t="s">
        <v>2653</v>
      </c>
      <c r="D2917" s="1" t="str">
        <f>IFERROR(__xludf.DUMMYFUNCTION("GOOGLETRANSLATE(C2917, ""zh-CN"", ""en"")"),"Baoji City")</f>
        <v>Baoji City</v>
      </c>
      <c r="E2917" s="1" t="s">
        <v>2680</v>
      </c>
      <c r="F2917" s="1" t="str">
        <f>IFERROR(__xludf.DUMMYFUNCTION("GOOGLETRANSLATE(E2917, ""zh-CN"", ""en"")"),"Qishan County")</f>
        <v>Qishan County</v>
      </c>
      <c r="G2917" s="1">
        <v>6.10323E11</v>
      </c>
    </row>
    <row r="2918">
      <c r="A2918" s="1" t="s">
        <v>2650</v>
      </c>
      <c r="B2918" s="1" t="str">
        <f>IFERROR(__xludf.DUMMYFUNCTION("GOOGLETRANSLATE(A2844, ""zh-CN"", ""en"")"),"Yunnan Province")</f>
        <v>Yunnan Province</v>
      </c>
      <c r="C2918" s="1" t="s">
        <v>2653</v>
      </c>
      <c r="D2918" s="1" t="str">
        <f>IFERROR(__xludf.DUMMYFUNCTION("GOOGLETRANSLATE(C2918, ""zh-CN"", ""en"")"),"Baoji City")</f>
        <v>Baoji City</v>
      </c>
      <c r="E2918" s="1" t="s">
        <v>2681</v>
      </c>
      <c r="F2918" s="1" t="str">
        <f>IFERROR(__xludf.DUMMYFUNCTION("GOOGLETRANSLATE(E2918, ""zh-CN"", ""en"")"),"Fufeng County")</f>
        <v>Fufeng County</v>
      </c>
      <c r="G2918" s="1">
        <v>6.10324E11</v>
      </c>
    </row>
    <row r="2919">
      <c r="A2919" s="1" t="s">
        <v>2650</v>
      </c>
      <c r="B2919" s="1" t="str">
        <f>IFERROR(__xludf.DUMMYFUNCTION("GOOGLETRANSLATE(A2845, ""zh-CN"", ""en"")"),"Yunnan Province")</f>
        <v>Yunnan Province</v>
      </c>
      <c r="C2919" s="1" t="s">
        <v>2653</v>
      </c>
      <c r="D2919" s="1" t="str">
        <f>IFERROR(__xludf.DUMMYFUNCTION("GOOGLETRANSLATE(C2919, ""zh-CN"", ""en"")"),"Baoji City")</f>
        <v>Baoji City</v>
      </c>
      <c r="E2919" s="1" t="s">
        <v>2682</v>
      </c>
      <c r="F2919" s="1" t="str">
        <f>IFERROR(__xludf.DUMMYFUNCTION("GOOGLETRANSLATE(E2919, ""zh-CN"", ""en"")"),"Eyebrow county")</f>
        <v>Eyebrow county</v>
      </c>
      <c r="G2919" s="1">
        <v>6.10326E11</v>
      </c>
    </row>
    <row r="2920">
      <c r="A2920" s="1" t="s">
        <v>2650</v>
      </c>
      <c r="B2920" s="1" t="str">
        <f>IFERROR(__xludf.DUMMYFUNCTION("GOOGLETRANSLATE(A2846, ""zh-CN"", ""en"")"),"Yunnan Province")</f>
        <v>Yunnan Province</v>
      </c>
      <c r="C2920" s="1" t="s">
        <v>2653</v>
      </c>
      <c r="D2920" s="1" t="str">
        <f>IFERROR(__xludf.DUMMYFUNCTION("GOOGLETRANSLATE(C2920, ""zh-CN"", ""en"")"),"Baoji City")</f>
        <v>Baoji City</v>
      </c>
      <c r="E2920" s="1" t="s">
        <v>2683</v>
      </c>
      <c r="F2920" s="1" t="str">
        <f>IFERROR(__xludf.DUMMYFUNCTION("GOOGLETRANSLATE(E2920, ""zh-CN"", ""en"")"),"Longxian")</f>
        <v>Longxian</v>
      </c>
      <c r="G2920" s="1">
        <v>6.10327E11</v>
      </c>
    </row>
    <row r="2921">
      <c r="A2921" s="1" t="s">
        <v>2650</v>
      </c>
      <c r="B2921" s="1" t="str">
        <f>IFERROR(__xludf.DUMMYFUNCTION("GOOGLETRANSLATE(A2847, ""zh-CN"", ""en"")"),"Yunnan Province")</f>
        <v>Yunnan Province</v>
      </c>
      <c r="C2921" s="1" t="s">
        <v>2653</v>
      </c>
      <c r="D2921" s="1" t="str">
        <f>IFERROR(__xludf.DUMMYFUNCTION("GOOGLETRANSLATE(C2921, ""zh-CN"", ""en"")"),"Baoji City")</f>
        <v>Baoji City</v>
      </c>
      <c r="E2921" s="1" t="s">
        <v>2684</v>
      </c>
      <c r="F2921" s="1" t="str">
        <f>IFERROR(__xludf.DUMMYFUNCTION("GOOGLETRANSLATE(E2921, ""zh-CN"", ""en"")"),"Qianyang County")</f>
        <v>Qianyang County</v>
      </c>
      <c r="G2921" s="1">
        <v>6.10328E11</v>
      </c>
    </row>
    <row r="2922">
      <c r="A2922" s="1" t="s">
        <v>2650</v>
      </c>
      <c r="B2922" s="1" t="str">
        <f>IFERROR(__xludf.DUMMYFUNCTION("GOOGLETRANSLATE(A2848, ""zh-CN"", ""en"")"),"Yunnan Province")</f>
        <v>Yunnan Province</v>
      </c>
      <c r="C2922" s="1" t="s">
        <v>2653</v>
      </c>
      <c r="D2922" s="1" t="str">
        <f>IFERROR(__xludf.DUMMYFUNCTION("GOOGLETRANSLATE(C2922, ""zh-CN"", ""en"")"),"Baoji City")</f>
        <v>Baoji City</v>
      </c>
      <c r="E2922" s="1" t="s">
        <v>2685</v>
      </c>
      <c r="F2922" s="1" t="str">
        <f>IFERROR(__xludf.DUMMYFUNCTION("GOOGLETRANSLATE(E2922, ""zh-CN"", ""en"")"),"Linyou County")</f>
        <v>Linyou County</v>
      </c>
      <c r="G2922" s="1">
        <v>6.10329E11</v>
      </c>
    </row>
    <row r="2923">
      <c r="A2923" s="1" t="s">
        <v>2650</v>
      </c>
      <c r="B2923" s="1" t="str">
        <f>IFERROR(__xludf.DUMMYFUNCTION("GOOGLETRANSLATE(A2849, ""zh-CN"", ""en"")"),"Yunnan Province")</f>
        <v>Yunnan Province</v>
      </c>
      <c r="C2923" s="1" t="s">
        <v>2653</v>
      </c>
      <c r="D2923" s="1" t="str">
        <f>IFERROR(__xludf.DUMMYFUNCTION("GOOGLETRANSLATE(C2923, ""zh-CN"", ""en"")"),"Baoji City")</f>
        <v>Baoji City</v>
      </c>
      <c r="E2923" s="1" t="s">
        <v>2686</v>
      </c>
      <c r="F2923" s="1" t="str">
        <f>IFERROR(__xludf.DUMMYFUNCTION("GOOGLETRANSLATE(E2923, ""zh-CN"", ""en"")"),"Fengxian")</f>
        <v>Fengxian</v>
      </c>
      <c r="G2923" s="1">
        <v>6.1033E11</v>
      </c>
    </row>
    <row r="2924">
      <c r="A2924" s="1" t="s">
        <v>2650</v>
      </c>
      <c r="B2924" s="1" t="str">
        <f>IFERROR(__xludf.DUMMYFUNCTION("GOOGLETRANSLATE(A2850, ""zh-CN"", ""en"")"),"Yunnan Province")</f>
        <v>Yunnan Province</v>
      </c>
      <c r="C2924" s="1" t="s">
        <v>2653</v>
      </c>
      <c r="D2924" s="1" t="str">
        <f>IFERROR(__xludf.DUMMYFUNCTION("GOOGLETRANSLATE(C2924, ""zh-CN"", ""en"")"),"Baoji City")</f>
        <v>Baoji City</v>
      </c>
      <c r="E2924" s="1" t="s">
        <v>2687</v>
      </c>
      <c r="F2924" s="1" t="str">
        <f>IFERROR(__xludf.DUMMYFUNCTION("GOOGLETRANSLATE(E2924, ""zh-CN"", ""en"")"),"Taibai County")</f>
        <v>Taibai County</v>
      </c>
      <c r="G2924" s="1">
        <v>6.10331E11</v>
      </c>
    </row>
    <row r="2925">
      <c r="A2925" s="1" t="s">
        <v>2650</v>
      </c>
      <c r="B2925" s="1" t="str">
        <f>IFERROR(__xludf.DUMMYFUNCTION("GOOGLETRANSLATE(A2851, ""zh-CN"", ""en"")"),"Yunnan Province")</f>
        <v>Yunnan Province</v>
      </c>
      <c r="C2925" s="1" t="s">
        <v>2654</v>
      </c>
      <c r="D2925" s="1" t="str">
        <f>IFERROR(__xludf.DUMMYFUNCTION("GOOGLETRANSLATE(C2925, ""zh-CN"", ""en"")"),"Xianyang City")</f>
        <v>Xianyang City</v>
      </c>
      <c r="E2925" s="1" t="s">
        <v>24</v>
      </c>
      <c r="F2925" s="1" t="str">
        <f>IFERROR(__xludf.DUMMYFUNCTION("GOOGLETRANSLATE(E2925, ""zh-CN"", ""en"")"),"City area")</f>
        <v>City area</v>
      </c>
      <c r="G2925" s="1">
        <v>6.10401E11</v>
      </c>
    </row>
    <row r="2926">
      <c r="A2926" s="1" t="s">
        <v>2650</v>
      </c>
      <c r="B2926" s="1" t="str">
        <f>IFERROR(__xludf.DUMMYFUNCTION("GOOGLETRANSLATE(A2852, ""zh-CN"", ""en"")"),"Yunnan Province")</f>
        <v>Yunnan Province</v>
      </c>
      <c r="C2926" s="1" t="s">
        <v>2654</v>
      </c>
      <c r="D2926" s="1" t="str">
        <f>IFERROR(__xludf.DUMMYFUNCTION("GOOGLETRANSLATE(C2926, ""zh-CN"", ""en"")"),"Xianyang City")</f>
        <v>Xianyang City</v>
      </c>
      <c r="E2926" s="1" t="s">
        <v>2688</v>
      </c>
      <c r="F2926" s="1" t="str">
        <f>IFERROR(__xludf.DUMMYFUNCTION("GOOGLETRANSLATE(E2926, ""zh-CN"", ""en"")"),"Qindu District")</f>
        <v>Qindu District</v>
      </c>
      <c r="G2926" s="1">
        <v>6.10402E11</v>
      </c>
    </row>
    <row r="2927">
      <c r="A2927" s="1" t="s">
        <v>2650</v>
      </c>
      <c r="B2927" s="1" t="str">
        <f>IFERROR(__xludf.DUMMYFUNCTION("GOOGLETRANSLATE(A2853, ""zh-CN"", ""en"")"),"Yunnan Province")</f>
        <v>Yunnan Province</v>
      </c>
      <c r="C2927" s="1" t="s">
        <v>2654</v>
      </c>
      <c r="D2927" s="1" t="str">
        <f>IFERROR(__xludf.DUMMYFUNCTION("GOOGLETRANSLATE(C2927, ""zh-CN"", ""en"")"),"Xianyang City")</f>
        <v>Xianyang City</v>
      </c>
      <c r="E2927" s="1" t="s">
        <v>2689</v>
      </c>
      <c r="F2927" s="1" t="str">
        <f>IFERROR(__xludf.DUMMYFUNCTION("GOOGLETRANSLATE(E2927, ""zh-CN"", ""en"")"),"Yangling District")</f>
        <v>Yangling District</v>
      </c>
      <c r="G2927" s="1">
        <v>6.10403E11</v>
      </c>
    </row>
    <row r="2928">
      <c r="A2928" s="1" t="s">
        <v>2650</v>
      </c>
      <c r="B2928" s="1" t="str">
        <f>IFERROR(__xludf.DUMMYFUNCTION("GOOGLETRANSLATE(A2854, ""zh-CN"", ""en"")"),"Yunnan Province")</f>
        <v>Yunnan Province</v>
      </c>
      <c r="C2928" s="1" t="s">
        <v>2654</v>
      </c>
      <c r="D2928" s="1" t="str">
        <f>IFERROR(__xludf.DUMMYFUNCTION("GOOGLETRANSLATE(C2928, ""zh-CN"", ""en"")"),"Xianyang City")</f>
        <v>Xianyang City</v>
      </c>
      <c r="E2928" s="1" t="s">
        <v>2690</v>
      </c>
      <c r="F2928" s="1" t="str">
        <f>IFERROR(__xludf.DUMMYFUNCTION("GOOGLETRANSLATE(E2928, ""zh-CN"", ""en"")"),"Weicheng District")</f>
        <v>Weicheng District</v>
      </c>
      <c r="G2928" s="1">
        <v>6.10404E11</v>
      </c>
    </row>
    <row r="2929">
      <c r="A2929" s="1" t="s">
        <v>2650</v>
      </c>
      <c r="B2929" s="1" t="str">
        <f>IFERROR(__xludf.DUMMYFUNCTION("GOOGLETRANSLATE(A2855, ""zh-CN"", ""en"")"),"Yunnan Province")</f>
        <v>Yunnan Province</v>
      </c>
      <c r="C2929" s="1" t="s">
        <v>2654</v>
      </c>
      <c r="D2929" s="1" t="str">
        <f>IFERROR(__xludf.DUMMYFUNCTION("GOOGLETRANSLATE(C2929, ""zh-CN"", ""en"")"),"Xianyang City")</f>
        <v>Xianyang City</v>
      </c>
      <c r="E2929" s="1" t="s">
        <v>2691</v>
      </c>
      <c r="F2929" s="1" t="str">
        <f>IFERROR(__xludf.DUMMYFUNCTION("GOOGLETRANSLATE(E2929, ""zh-CN"", ""en"")"),"Sanyuan County")</f>
        <v>Sanyuan County</v>
      </c>
      <c r="G2929" s="1">
        <v>6.10422E11</v>
      </c>
    </row>
    <row r="2930">
      <c r="A2930" s="1" t="s">
        <v>2650</v>
      </c>
      <c r="B2930" s="1" t="str">
        <f>IFERROR(__xludf.DUMMYFUNCTION("GOOGLETRANSLATE(A2856, ""zh-CN"", ""en"")"),"Yunnan Province")</f>
        <v>Yunnan Province</v>
      </c>
      <c r="C2930" s="1" t="s">
        <v>2654</v>
      </c>
      <c r="D2930" s="1" t="str">
        <f>IFERROR(__xludf.DUMMYFUNCTION("GOOGLETRANSLATE(C2930, ""zh-CN"", ""en"")"),"Xianyang City")</f>
        <v>Xianyang City</v>
      </c>
      <c r="E2930" s="1" t="s">
        <v>2692</v>
      </c>
      <c r="F2930" s="1" t="str">
        <f>IFERROR(__xludf.DUMMYFUNCTION("GOOGLETRANSLATE(E2930, ""zh-CN"", ""en"")"),"Puyang County")</f>
        <v>Puyang County</v>
      </c>
      <c r="G2930" s="1">
        <v>6.10423E11</v>
      </c>
    </row>
    <row r="2931">
      <c r="A2931" s="1" t="s">
        <v>2650</v>
      </c>
      <c r="B2931" s="1" t="str">
        <f>IFERROR(__xludf.DUMMYFUNCTION("GOOGLETRANSLATE(A2857, ""zh-CN"", ""en"")"),"Yunnan Province")</f>
        <v>Yunnan Province</v>
      </c>
      <c r="C2931" s="1" t="s">
        <v>2654</v>
      </c>
      <c r="D2931" s="1" t="str">
        <f>IFERROR(__xludf.DUMMYFUNCTION("GOOGLETRANSLATE(C2931, ""zh-CN"", ""en"")"),"Xianyang City")</f>
        <v>Xianyang City</v>
      </c>
      <c r="E2931" s="1" t="s">
        <v>2693</v>
      </c>
      <c r="F2931" s="1" t="str">
        <f>IFERROR(__xludf.DUMMYFUNCTION("GOOGLETRANSLATE(E2931, ""zh-CN"", ""en"")"),"Qianxian County")</f>
        <v>Qianxian County</v>
      </c>
      <c r="G2931" s="1">
        <v>6.10424E11</v>
      </c>
    </row>
    <row r="2932">
      <c r="A2932" s="1" t="s">
        <v>2650</v>
      </c>
      <c r="B2932" s="1" t="str">
        <f>IFERROR(__xludf.DUMMYFUNCTION("GOOGLETRANSLATE(A2858, ""zh-CN"", ""en"")"),"Yunnan Province")</f>
        <v>Yunnan Province</v>
      </c>
      <c r="C2932" s="1" t="s">
        <v>2654</v>
      </c>
      <c r="D2932" s="1" t="str">
        <f>IFERROR(__xludf.DUMMYFUNCTION("GOOGLETRANSLATE(C2932, ""zh-CN"", ""en"")"),"Xianyang City")</f>
        <v>Xianyang City</v>
      </c>
      <c r="E2932" s="1" t="s">
        <v>2694</v>
      </c>
      <c r="F2932" s="1" t="str">
        <f>IFERROR(__xludf.DUMMYFUNCTION("GOOGLETRANSLATE(E2932, ""zh-CN"", ""en"")"),"Liquan County")</f>
        <v>Liquan County</v>
      </c>
      <c r="G2932" s="1">
        <v>6.10425E11</v>
      </c>
    </row>
    <row r="2933">
      <c r="A2933" s="1" t="s">
        <v>2650</v>
      </c>
      <c r="B2933" s="1" t="str">
        <f>IFERROR(__xludf.DUMMYFUNCTION("GOOGLETRANSLATE(A2859, ""zh-CN"", ""en"")"),"Yunnan Province")</f>
        <v>Yunnan Province</v>
      </c>
      <c r="C2933" s="1" t="s">
        <v>2654</v>
      </c>
      <c r="D2933" s="1" t="str">
        <f>IFERROR(__xludf.DUMMYFUNCTION("GOOGLETRANSLATE(C2933, ""zh-CN"", ""en"")"),"Xianyang City")</f>
        <v>Xianyang City</v>
      </c>
      <c r="E2933" s="1" t="s">
        <v>2695</v>
      </c>
      <c r="F2933" s="1" t="str">
        <f>IFERROR(__xludf.DUMMYFUNCTION("GOOGLETRANSLATE(E2933, ""zh-CN"", ""en"")"),"Yongshou County")</f>
        <v>Yongshou County</v>
      </c>
      <c r="G2933" s="1">
        <v>6.10426E11</v>
      </c>
    </row>
    <row r="2934">
      <c r="A2934" s="1" t="s">
        <v>2650</v>
      </c>
      <c r="B2934" s="1" t="str">
        <f>IFERROR(__xludf.DUMMYFUNCTION("GOOGLETRANSLATE(A2860, ""zh-CN"", ""en"")"),"Yunnan Province")</f>
        <v>Yunnan Province</v>
      </c>
      <c r="C2934" s="1" t="s">
        <v>2654</v>
      </c>
      <c r="D2934" s="1" t="str">
        <f>IFERROR(__xludf.DUMMYFUNCTION("GOOGLETRANSLATE(C2934, ""zh-CN"", ""en"")"),"Xianyang City")</f>
        <v>Xianyang City</v>
      </c>
      <c r="E2934" s="1" t="s">
        <v>2696</v>
      </c>
      <c r="F2934" s="1" t="str">
        <f>IFERROR(__xludf.DUMMYFUNCTION("GOOGLETRANSLATE(E2934, ""zh-CN"", ""en"")"),"Changwu County")</f>
        <v>Changwu County</v>
      </c>
      <c r="G2934" s="1">
        <v>6.10428E11</v>
      </c>
    </row>
    <row r="2935">
      <c r="A2935" s="1" t="s">
        <v>2650</v>
      </c>
      <c r="B2935" s="1" t="str">
        <f>IFERROR(__xludf.DUMMYFUNCTION("GOOGLETRANSLATE(A2861, ""zh-CN"", ""en"")"),"Yunnan Province")</f>
        <v>Yunnan Province</v>
      </c>
      <c r="C2935" s="1" t="s">
        <v>2654</v>
      </c>
      <c r="D2935" s="1" t="str">
        <f>IFERROR(__xludf.DUMMYFUNCTION("GOOGLETRANSLATE(C2935, ""zh-CN"", ""en"")"),"Xianyang City")</f>
        <v>Xianyang City</v>
      </c>
      <c r="E2935" s="1" t="s">
        <v>2697</v>
      </c>
      <c r="F2935" s="1" t="str">
        <f>IFERROR(__xludf.DUMMYFUNCTION("GOOGLETRANSLATE(E2935, ""zh-CN"", ""en"")"),"Xunyi County")</f>
        <v>Xunyi County</v>
      </c>
      <c r="G2935" s="1">
        <v>6.10429E11</v>
      </c>
    </row>
    <row r="2936">
      <c r="A2936" s="1" t="s">
        <v>2650</v>
      </c>
      <c r="B2936" s="1" t="str">
        <f>IFERROR(__xludf.DUMMYFUNCTION("GOOGLETRANSLATE(A2862, ""zh-CN"", ""en"")"),"Yunnan Province")</f>
        <v>Yunnan Province</v>
      </c>
      <c r="C2936" s="1" t="s">
        <v>2654</v>
      </c>
      <c r="D2936" s="1" t="str">
        <f>IFERROR(__xludf.DUMMYFUNCTION("GOOGLETRANSLATE(C2936, ""zh-CN"", ""en"")"),"Xianyang City")</f>
        <v>Xianyang City</v>
      </c>
      <c r="E2936" s="1" t="s">
        <v>2698</v>
      </c>
      <c r="F2936" s="1" t="str">
        <f>IFERROR(__xludf.DUMMYFUNCTION("GOOGLETRANSLATE(E2936, ""zh-CN"", ""en"")"),"Chunhua County")</f>
        <v>Chunhua County</v>
      </c>
      <c r="G2936" s="1">
        <v>6.1043E11</v>
      </c>
    </row>
    <row r="2937">
      <c r="A2937" s="1" t="s">
        <v>2650</v>
      </c>
      <c r="B2937" s="1" t="str">
        <f>IFERROR(__xludf.DUMMYFUNCTION("GOOGLETRANSLATE(A2863, ""zh-CN"", ""en"")"),"Yunnan Province")</f>
        <v>Yunnan Province</v>
      </c>
      <c r="C2937" s="1" t="s">
        <v>2654</v>
      </c>
      <c r="D2937" s="1" t="str">
        <f>IFERROR(__xludf.DUMMYFUNCTION("GOOGLETRANSLATE(C2937, ""zh-CN"", ""en"")"),"Xianyang City")</f>
        <v>Xianyang City</v>
      </c>
      <c r="E2937" s="1" t="s">
        <v>2699</v>
      </c>
      <c r="F2937" s="1" t="str">
        <f>IFERROR(__xludf.DUMMYFUNCTION("GOOGLETRANSLATE(E2937, ""zh-CN"", ""en"")"),"Martial arts")</f>
        <v>Martial arts</v>
      </c>
      <c r="G2937" s="1">
        <v>6.10431E11</v>
      </c>
    </row>
    <row r="2938">
      <c r="A2938" s="1" t="s">
        <v>2650</v>
      </c>
      <c r="B2938" s="1" t="str">
        <f>IFERROR(__xludf.DUMMYFUNCTION("GOOGLETRANSLATE(A2864, ""zh-CN"", ""en"")"),"Yunnan Province")</f>
        <v>Yunnan Province</v>
      </c>
      <c r="C2938" s="1" t="s">
        <v>2654</v>
      </c>
      <c r="D2938" s="1" t="str">
        <f>IFERROR(__xludf.DUMMYFUNCTION("GOOGLETRANSLATE(C2938, ""zh-CN"", ""en"")"),"Xianyang City")</f>
        <v>Xianyang City</v>
      </c>
      <c r="E2938" s="1" t="s">
        <v>2700</v>
      </c>
      <c r="F2938" s="1" t="str">
        <f>IFERROR(__xludf.DUMMYFUNCTION("GOOGLETRANSLATE(E2938, ""zh-CN"", ""en"")"),"Xingping City")</f>
        <v>Xingping City</v>
      </c>
      <c r="G2938" s="1">
        <v>6.10481E11</v>
      </c>
    </row>
    <row r="2939">
      <c r="A2939" s="1" t="s">
        <v>2650</v>
      </c>
      <c r="B2939" s="1" t="str">
        <f>IFERROR(__xludf.DUMMYFUNCTION("GOOGLETRANSLATE(A2865, ""zh-CN"", ""en"")"),"Yunnan Province")</f>
        <v>Yunnan Province</v>
      </c>
      <c r="C2939" s="1" t="s">
        <v>2654</v>
      </c>
      <c r="D2939" s="1" t="str">
        <f>IFERROR(__xludf.DUMMYFUNCTION("GOOGLETRANSLATE(C2939, ""zh-CN"", ""en"")"),"Xianyang City")</f>
        <v>Xianyang City</v>
      </c>
      <c r="E2939" s="1" t="s">
        <v>2701</v>
      </c>
      <c r="F2939" s="1" t="str">
        <f>IFERROR(__xludf.DUMMYFUNCTION("GOOGLETRANSLATE(E2939, ""zh-CN"", ""en"")"),"Binzhou")</f>
        <v>Binzhou</v>
      </c>
      <c r="G2939" s="1">
        <v>6.10482E11</v>
      </c>
    </row>
    <row r="2940">
      <c r="A2940" s="1" t="s">
        <v>2650</v>
      </c>
      <c r="B2940" s="1" t="str">
        <f>IFERROR(__xludf.DUMMYFUNCTION("GOOGLETRANSLATE(A2866, ""zh-CN"", ""en"")"),"Yunnan Province")</f>
        <v>Yunnan Province</v>
      </c>
      <c r="C2940" s="1" t="s">
        <v>2655</v>
      </c>
      <c r="D2940" s="1" t="str">
        <f>IFERROR(__xludf.DUMMYFUNCTION("GOOGLETRANSLATE(C2940, ""zh-CN"", ""en"")"),"Weinan City")</f>
        <v>Weinan City</v>
      </c>
      <c r="E2940" s="1" t="s">
        <v>24</v>
      </c>
      <c r="F2940" s="1" t="str">
        <f>IFERROR(__xludf.DUMMYFUNCTION("GOOGLETRANSLATE(E2940, ""zh-CN"", ""en"")"),"City area")</f>
        <v>City area</v>
      </c>
      <c r="G2940" s="1">
        <v>6.10501E11</v>
      </c>
    </row>
    <row r="2941">
      <c r="A2941" s="1" t="s">
        <v>2650</v>
      </c>
      <c r="B2941" s="1" t="str">
        <f>IFERROR(__xludf.DUMMYFUNCTION("GOOGLETRANSLATE(A2867, ""zh-CN"", ""en"")"),"Yunnan Province")</f>
        <v>Yunnan Province</v>
      </c>
      <c r="C2941" s="1" t="s">
        <v>2655</v>
      </c>
      <c r="D2941" s="1" t="str">
        <f>IFERROR(__xludf.DUMMYFUNCTION("GOOGLETRANSLATE(C2941, ""zh-CN"", ""en"")"),"Weinan City")</f>
        <v>Weinan City</v>
      </c>
      <c r="E2941" s="1" t="s">
        <v>2702</v>
      </c>
      <c r="F2941" s="1" t="str">
        <f>IFERROR(__xludf.DUMMYFUNCTION("GOOGLETRANSLATE(E2941, ""zh-CN"", ""en"")"),"Linwei District")</f>
        <v>Linwei District</v>
      </c>
      <c r="G2941" s="1">
        <v>6.10502E11</v>
      </c>
    </row>
    <row r="2942">
      <c r="A2942" s="1" t="s">
        <v>2650</v>
      </c>
      <c r="B2942" s="1" t="str">
        <f>IFERROR(__xludf.DUMMYFUNCTION("GOOGLETRANSLATE(A2868, ""zh-CN"", ""en"")"),"Yunnan Province")</f>
        <v>Yunnan Province</v>
      </c>
      <c r="C2942" s="1" t="s">
        <v>2655</v>
      </c>
      <c r="D2942" s="1" t="str">
        <f>IFERROR(__xludf.DUMMYFUNCTION("GOOGLETRANSLATE(C2942, ""zh-CN"", ""en"")"),"Weinan City")</f>
        <v>Weinan City</v>
      </c>
      <c r="E2942" s="1" t="s">
        <v>2703</v>
      </c>
      <c r="F2942" s="1" t="str">
        <f>IFERROR(__xludf.DUMMYFUNCTION("GOOGLETRANSLATE(E2942, ""zh-CN"", ""en"")"),"Huazhou District")</f>
        <v>Huazhou District</v>
      </c>
      <c r="G2942" s="1">
        <v>6.10503E11</v>
      </c>
    </row>
    <row r="2943">
      <c r="A2943" s="1" t="s">
        <v>2650</v>
      </c>
      <c r="B2943" s="1" t="str">
        <f>IFERROR(__xludf.DUMMYFUNCTION("GOOGLETRANSLATE(A2869, ""zh-CN"", ""en"")"),"Yunnan Province")</f>
        <v>Yunnan Province</v>
      </c>
      <c r="C2943" s="1" t="s">
        <v>2655</v>
      </c>
      <c r="D2943" s="1" t="str">
        <f>IFERROR(__xludf.DUMMYFUNCTION("GOOGLETRANSLATE(C2943, ""zh-CN"", ""en"")"),"Weinan City")</f>
        <v>Weinan City</v>
      </c>
      <c r="E2943" s="1" t="s">
        <v>2704</v>
      </c>
      <c r="F2943" s="1" t="str">
        <f>IFERROR(__xludf.DUMMYFUNCTION("GOOGLETRANSLATE(E2943, ""zh-CN"", ""en"")"),"Tongguan County")</f>
        <v>Tongguan County</v>
      </c>
      <c r="G2943" s="1">
        <v>6.10522E11</v>
      </c>
    </row>
    <row r="2944">
      <c r="A2944" s="1" t="s">
        <v>2650</v>
      </c>
      <c r="B2944" s="1" t="str">
        <f>IFERROR(__xludf.DUMMYFUNCTION("GOOGLETRANSLATE(A2870, ""zh-CN"", ""en"")"),"Yunnan Province")</f>
        <v>Yunnan Province</v>
      </c>
      <c r="C2944" s="1" t="s">
        <v>2655</v>
      </c>
      <c r="D2944" s="1" t="str">
        <f>IFERROR(__xludf.DUMMYFUNCTION("GOOGLETRANSLATE(C2944, ""zh-CN"", ""en"")"),"Weinan City")</f>
        <v>Weinan City</v>
      </c>
      <c r="E2944" s="1" t="s">
        <v>2705</v>
      </c>
      <c r="F2944" s="1" t="str">
        <f>IFERROR(__xludf.DUMMYFUNCTION("GOOGLETRANSLATE(E2944, ""zh-CN"", ""en"")"),"Dali County")</f>
        <v>Dali County</v>
      </c>
      <c r="G2944" s="1">
        <v>6.10523E11</v>
      </c>
    </row>
    <row r="2945">
      <c r="A2945" s="1" t="s">
        <v>2650</v>
      </c>
      <c r="B2945" s="1" t="str">
        <f>IFERROR(__xludf.DUMMYFUNCTION("GOOGLETRANSLATE(A2871, ""zh-CN"", ""en"")"),"Yunnan Province")</f>
        <v>Yunnan Province</v>
      </c>
      <c r="C2945" s="1" t="s">
        <v>2655</v>
      </c>
      <c r="D2945" s="1" t="str">
        <f>IFERROR(__xludf.DUMMYFUNCTION("GOOGLETRANSLATE(C2945, ""zh-CN"", ""en"")"),"Weinan City")</f>
        <v>Weinan City</v>
      </c>
      <c r="E2945" s="1" t="s">
        <v>2706</v>
      </c>
      <c r="F2945" s="1" t="str">
        <f>IFERROR(__xludf.DUMMYFUNCTION("GOOGLETRANSLATE(E2945, ""zh-CN"", ""en"")"),"Heyang County")</f>
        <v>Heyang County</v>
      </c>
      <c r="G2945" s="1">
        <v>6.10524E11</v>
      </c>
    </row>
    <row r="2946">
      <c r="A2946" s="1" t="s">
        <v>2650</v>
      </c>
      <c r="B2946" s="1" t="str">
        <f>IFERROR(__xludf.DUMMYFUNCTION("GOOGLETRANSLATE(A2872, ""zh-CN"", ""en"")"),"Yunnan Province")</f>
        <v>Yunnan Province</v>
      </c>
      <c r="C2946" s="1" t="s">
        <v>2655</v>
      </c>
      <c r="D2946" s="1" t="str">
        <f>IFERROR(__xludf.DUMMYFUNCTION("GOOGLETRANSLATE(C2946, ""zh-CN"", ""en"")"),"Weinan City")</f>
        <v>Weinan City</v>
      </c>
      <c r="E2946" s="1" t="s">
        <v>2707</v>
      </c>
      <c r="F2946" s="1" t="str">
        <f>IFERROR(__xludf.DUMMYFUNCTION("GOOGLETRANSLATE(E2946, ""zh-CN"", ""en"")"),"Chengcheng County")</f>
        <v>Chengcheng County</v>
      </c>
      <c r="G2946" s="1">
        <v>6.10525E11</v>
      </c>
    </row>
    <row r="2947">
      <c r="A2947" s="1" t="s">
        <v>2650</v>
      </c>
      <c r="B2947" s="1" t="str">
        <f>IFERROR(__xludf.DUMMYFUNCTION("GOOGLETRANSLATE(A2873, ""zh-CN"", ""en"")"),"Yunnan Province")</f>
        <v>Yunnan Province</v>
      </c>
      <c r="C2947" s="1" t="s">
        <v>2655</v>
      </c>
      <c r="D2947" s="1" t="str">
        <f>IFERROR(__xludf.DUMMYFUNCTION("GOOGLETRANSLATE(C2947, ""zh-CN"", ""en"")"),"Weinan City")</f>
        <v>Weinan City</v>
      </c>
      <c r="E2947" s="1" t="s">
        <v>2708</v>
      </c>
      <c r="F2947" s="1" t="str">
        <f>IFERROR(__xludf.DUMMYFUNCTION("GOOGLETRANSLATE(E2947, ""zh-CN"", ""en"")"),"Pucheng County")</f>
        <v>Pucheng County</v>
      </c>
      <c r="G2947" s="1">
        <v>6.10526E11</v>
      </c>
    </row>
    <row r="2948">
      <c r="A2948" s="1" t="s">
        <v>2650</v>
      </c>
      <c r="B2948" s="1" t="str">
        <f>IFERROR(__xludf.DUMMYFUNCTION("GOOGLETRANSLATE(A2874, ""zh-CN"", ""en"")"),"Yunnan Province")</f>
        <v>Yunnan Province</v>
      </c>
      <c r="C2948" s="1" t="s">
        <v>2655</v>
      </c>
      <c r="D2948" s="1" t="str">
        <f>IFERROR(__xludf.DUMMYFUNCTION("GOOGLETRANSLATE(C2948, ""zh-CN"", ""en"")"),"Weinan City")</f>
        <v>Weinan City</v>
      </c>
      <c r="E2948" s="1" t="s">
        <v>2709</v>
      </c>
      <c r="F2948" s="1" t="str">
        <f>IFERROR(__xludf.DUMMYFUNCTION("GOOGLETRANSLATE(E2948, ""zh-CN"", ""en"")"),"Baishui County")</f>
        <v>Baishui County</v>
      </c>
      <c r="G2948" s="1">
        <v>6.10527E11</v>
      </c>
    </row>
    <row r="2949">
      <c r="A2949" s="1" t="s">
        <v>2650</v>
      </c>
      <c r="B2949" s="1" t="str">
        <f>IFERROR(__xludf.DUMMYFUNCTION("GOOGLETRANSLATE(A2875, ""zh-CN"", ""en"")"),"Yunnan Province")</f>
        <v>Yunnan Province</v>
      </c>
      <c r="C2949" s="1" t="s">
        <v>2655</v>
      </c>
      <c r="D2949" s="1" t="str">
        <f>IFERROR(__xludf.DUMMYFUNCTION("GOOGLETRANSLATE(C2949, ""zh-CN"", ""en"")"),"Weinan City")</f>
        <v>Weinan City</v>
      </c>
      <c r="E2949" s="1" t="s">
        <v>2710</v>
      </c>
      <c r="F2949" s="1" t="str">
        <f>IFERROR(__xludf.DUMMYFUNCTION("GOOGLETRANSLATE(E2949, ""zh-CN"", ""en"")"),"Fuping County")</f>
        <v>Fuping County</v>
      </c>
      <c r="G2949" s="1">
        <v>6.10528E11</v>
      </c>
    </row>
    <row r="2950">
      <c r="A2950" s="1" t="s">
        <v>2650</v>
      </c>
      <c r="B2950" s="1" t="str">
        <f>IFERROR(__xludf.DUMMYFUNCTION("GOOGLETRANSLATE(A2876, ""zh-CN"", ""en"")"),"Yunnan Province")</f>
        <v>Yunnan Province</v>
      </c>
      <c r="C2950" s="1" t="s">
        <v>2655</v>
      </c>
      <c r="D2950" s="1" t="str">
        <f>IFERROR(__xludf.DUMMYFUNCTION("GOOGLETRANSLATE(C2950, ""zh-CN"", ""en"")"),"Weinan City")</f>
        <v>Weinan City</v>
      </c>
      <c r="E2950" s="1" t="s">
        <v>2711</v>
      </c>
      <c r="F2950" s="1" t="str">
        <f>IFERROR(__xludf.DUMMYFUNCTION("GOOGLETRANSLATE(E2950, ""zh-CN"", ""en"")"),"Korean city")</f>
        <v>Korean city</v>
      </c>
      <c r="G2950" s="1">
        <v>6.10581E11</v>
      </c>
    </row>
    <row r="2951">
      <c r="A2951" s="1" t="s">
        <v>2650</v>
      </c>
      <c r="B2951" s="1" t="str">
        <f>IFERROR(__xludf.DUMMYFUNCTION("GOOGLETRANSLATE(A2877, ""zh-CN"", ""en"")"),"Yunnan Province")</f>
        <v>Yunnan Province</v>
      </c>
      <c r="C2951" s="1" t="s">
        <v>2655</v>
      </c>
      <c r="D2951" s="1" t="str">
        <f>IFERROR(__xludf.DUMMYFUNCTION("GOOGLETRANSLATE(C2951, ""zh-CN"", ""en"")"),"Weinan City")</f>
        <v>Weinan City</v>
      </c>
      <c r="E2951" s="1" t="s">
        <v>2712</v>
      </c>
      <c r="F2951" s="1" t="str">
        <f>IFERROR(__xludf.DUMMYFUNCTION("GOOGLETRANSLATE(E2951, ""zh-CN"", ""en"")"),"Huayin City")</f>
        <v>Huayin City</v>
      </c>
      <c r="G2951" s="1">
        <v>6.10582E11</v>
      </c>
    </row>
    <row r="2952">
      <c r="A2952" s="1" t="s">
        <v>2650</v>
      </c>
      <c r="B2952" s="1" t="str">
        <f>IFERROR(__xludf.DUMMYFUNCTION("GOOGLETRANSLATE(A2878, ""zh-CN"", ""en"")"),"Yunnan Province")</f>
        <v>Yunnan Province</v>
      </c>
      <c r="C2952" s="1" t="s">
        <v>2656</v>
      </c>
      <c r="D2952" s="1" t="str">
        <f>IFERROR(__xludf.DUMMYFUNCTION("GOOGLETRANSLATE(C2952, ""zh-CN"", ""en"")"),"Yan'an City")</f>
        <v>Yan'an City</v>
      </c>
      <c r="E2952" s="1" t="s">
        <v>24</v>
      </c>
      <c r="F2952" s="1" t="str">
        <f>IFERROR(__xludf.DUMMYFUNCTION("GOOGLETRANSLATE(E2952, ""zh-CN"", ""en"")"),"City area")</f>
        <v>City area</v>
      </c>
      <c r="G2952" s="1">
        <v>6.10601E11</v>
      </c>
    </row>
    <row r="2953">
      <c r="A2953" s="1" t="s">
        <v>2650</v>
      </c>
      <c r="B2953" s="1" t="str">
        <f>IFERROR(__xludf.DUMMYFUNCTION("GOOGLETRANSLATE(A2879, ""zh-CN"", ""en"")"),"Yunnan Province")</f>
        <v>Yunnan Province</v>
      </c>
      <c r="C2953" s="1" t="s">
        <v>2656</v>
      </c>
      <c r="D2953" s="1" t="str">
        <f>IFERROR(__xludf.DUMMYFUNCTION("GOOGLETRANSLATE(C2953, ""zh-CN"", ""en"")"),"Yan'an City")</f>
        <v>Yan'an City</v>
      </c>
      <c r="E2953" s="1" t="s">
        <v>2713</v>
      </c>
      <c r="F2953" s="1" t="str">
        <f>IFERROR(__xludf.DUMMYFUNCTION("GOOGLETRANSLATE(E2953, ""zh-CN"", ""en"")"),"Pagoda area")</f>
        <v>Pagoda area</v>
      </c>
      <c r="G2953" s="1">
        <v>6.10602E11</v>
      </c>
    </row>
    <row r="2954">
      <c r="A2954" s="1" t="s">
        <v>2650</v>
      </c>
      <c r="B2954" s="1" t="str">
        <f>IFERROR(__xludf.DUMMYFUNCTION("GOOGLETRANSLATE(A2880, ""zh-CN"", ""en"")"),"Yunnan Province")</f>
        <v>Yunnan Province</v>
      </c>
      <c r="C2954" s="1" t="s">
        <v>2656</v>
      </c>
      <c r="D2954" s="1" t="str">
        <f>IFERROR(__xludf.DUMMYFUNCTION("GOOGLETRANSLATE(C2954, ""zh-CN"", ""en"")"),"Yan'an City")</f>
        <v>Yan'an City</v>
      </c>
      <c r="E2954" s="1" t="s">
        <v>2714</v>
      </c>
      <c r="F2954" s="1" t="str">
        <f>IFERROR(__xludf.DUMMYFUNCTION("GOOGLETRANSLATE(E2954, ""zh-CN"", ""en"")"),"Ansse")</f>
        <v>Ansse</v>
      </c>
      <c r="G2954" s="1">
        <v>6.10603E11</v>
      </c>
    </row>
    <row r="2955">
      <c r="A2955" s="1" t="s">
        <v>2650</v>
      </c>
      <c r="B2955" s="1" t="str">
        <f>IFERROR(__xludf.DUMMYFUNCTION("GOOGLETRANSLATE(A2881, ""zh-CN"", ""en"")"),"Yunnan Province")</f>
        <v>Yunnan Province</v>
      </c>
      <c r="C2955" s="1" t="s">
        <v>2656</v>
      </c>
      <c r="D2955" s="1" t="str">
        <f>IFERROR(__xludf.DUMMYFUNCTION("GOOGLETRANSLATE(C2955, ""zh-CN"", ""en"")"),"Yan'an City")</f>
        <v>Yan'an City</v>
      </c>
      <c r="E2955" s="1" t="s">
        <v>2715</v>
      </c>
      <c r="F2955" s="1" t="str">
        <f>IFERROR(__xludf.DUMMYFUNCTION("GOOGLETRANSLATE(E2955, ""zh-CN"", ""en"")"),"Extended county")</f>
        <v>Extended county</v>
      </c>
      <c r="G2955" s="1">
        <v>6.10621E11</v>
      </c>
    </row>
    <row r="2956">
      <c r="A2956" s="1" t="s">
        <v>2650</v>
      </c>
      <c r="B2956" s="1" t="str">
        <f>IFERROR(__xludf.DUMMYFUNCTION("GOOGLETRANSLATE(A2882, ""zh-CN"", ""en"")"),"Shaanxi Province")</f>
        <v>Shaanxi Province</v>
      </c>
      <c r="C2956" s="1" t="s">
        <v>2656</v>
      </c>
      <c r="D2956" s="1" t="str">
        <f>IFERROR(__xludf.DUMMYFUNCTION("GOOGLETRANSLATE(C2956, ""zh-CN"", ""en"")"),"Yan'an City")</f>
        <v>Yan'an City</v>
      </c>
      <c r="E2956" s="1" t="s">
        <v>2716</v>
      </c>
      <c r="F2956" s="1" t="str">
        <f>IFERROR(__xludf.DUMMYFUNCTION("GOOGLETRANSLATE(E2956, ""zh-CN"", ""en"")"),"Yanchuan County")</f>
        <v>Yanchuan County</v>
      </c>
      <c r="G2956" s="1">
        <v>6.10622E11</v>
      </c>
    </row>
    <row r="2957">
      <c r="A2957" s="1" t="s">
        <v>2650</v>
      </c>
      <c r="B2957" s="1" t="str">
        <f>IFERROR(__xludf.DUMMYFUNCTION("GOOGLETRANSLATE(A2883, ""zh-CN"", ""en"")"),"Shaanxi Province")</f>
        <v>Shaanxi Province</v>
      </c>
      <c r="C2957" s="1" t="s">
        <v>2656</v>
      </c>
      <c r="D2957" s="1" t="str">
        <f>IFERROR(__xludf.DUMMYFUNCTION("GOOGLETRANSLATE(C2957, ""zh-CN"", ""en"")"),"Yan'an City")</f>
        <v>Yan'an City</v>
      </c>
      <c r="E2957" s="1" t="s">
        <v>2717</v>
      </c>
      <c r="F2957" s="1" t="str">
        <f>IFERROR(__xludf.DUMMYFUNCTION("GOOGLETRANSLATE(E2957, ""zh-CN"", ""en"")"),"Zhidan County")</f>
        <v>Zhidan County</v>
      </c>
      <c r="G2957" s="1">
        <v>6.10625E11</v>
      </c>
    </row>
    <row r="2958">
      <c r="A2958" s="1" t="s">
        <v>2650</v>
      </c>
      <c r="B2958" s="1" t="str">
        <f>IFERROR(__xludf.DUMMYFUNCTION("GOOGLETRANSLATE(A2884, ""zh-CN"", ""en"")"),"Shaanxi Province")</f>
        <v>Shaanxi Province</v>
      </c>
      <c r="C2958" s="1" t="s">
        <v>2656</v>
      </c>
      <c r="D2958" s="1" t="str">
        <f>IFERROR(__xludf.DUMMYFUNCTION("GOOGLETRANSLATE(C2958, ""zh-CN"", ""en"")"),"Yan'an City")</f>
        <v>Yan'an City</v>
      </c>
      <c r="E2958" s="1" t="s">
        <v>2718</v>
      </c>
      <c r="F2958" s="1" t="str">
        <f>IFERROR(__xludf.DUMMYFUNCTION("GOOGLETRANSLATE(E2958, ""zh-CN"", ""en"")"),"Wuqi County")</f>
        <v>Wuqi County</v>
      </c>
      <c r="G2958" s="1">
        <v>6.10626E11</v>
      </c>
    </row>
    <row r="2959">
      <c r="A2959" s="1" t="s">
        <v>2650</v>
      </c>
      <c r="B2959" s="1" t="str">
        <f>IFERROR(__xludf.DUMMYFUNCTION("GOOGLETRANSLATE(A2885, ""zh-CN"", ""en"")"),"Shaanxi Province")</f>
        <v>Shaanxi Province</v>
      </c>
      <c r="C2959" s="1" t="s">
        <v>2656</v>
      </c>
      <c r="D2959" s="1" t="str">
        <f>IFERROR(__xludf.DUMMYFUNCTION("GOOGLETRANSLATE(C2959, ""zh-CN"", ""en"")"),"Yan'an City")</f>
        <v>Yan'an City</v>
      </c>
      <c r="E2959" s="1" t="s">
        <v>2719</v>
      </c>
      <c r="F2959" s="1" t="str">
        <f>IFERROR(__xludf.DUMMYFUNCTION("GOOGLETRANSLATE(E2959, ""zh-CN"", ""en"")"),"Ganquan County")</f>
        <v>Ganquan County</v>
      </c>
      <c r="G2959" s="1">
        <v>6.10627E11</v>
      </c>
    </row>
    <row r="2960">
      <c r="A2960" s="1" t="s">
        <v>2650</v>
      </c>
      <c r="B2960" s="1" t="str">
        <f>IFERROR(__xludf.DUMMYFUNCTION("GOOGLETRANSLATE(A2886, ""zh-CN"", ""en"")"),"Shaanxi Province")</f>
        <v>Shaanxi Province</v>
      </c>
      <c r="C2960" s="1" t="s">
        <v>2656</v>
      </c>
      <c r="D2960" s="1" t="str">
        <f>IFERROR(__xludf.DUMMYFUNCTION("GOOGLETRANSLATE(C2960, ""zh-CN"", ""en"")"),"Yan'an City")</f>
        <v>Yan'an City</v>
      </c>
      <c r="E2960" s="1" t="s">
        <v>2720</v>
      </c>
      <c r="F2960" s="1" t="str">
        <f>IFERROR(__xludf.DUMMYFUNCTION("GOOGLETRANSLATE(E2960, ""zh-CN"", ""en"")"),"Rich county")</f>
        <v>Rich county</v>
      </c>
      <c r="G2960" s="1">
        <v>6.10628E11</v>
      </c>
    </row>
    <row r="2961">
      <c r="A2961" s="1" t="s">
        <v>2650</v>
      </c>
      <c r="B2961" s="1" t="str">
        <f>IFERROR(__xludf.DUMMYFUNCTION("GOOGLETRANSLATE(A2887, ""zh-CN"", ""en"")"),"Shaanxi Province")</f>
        <v>Shaanxi Province</v>
      </c>
      <c r="C2961" s="1" t="s">
        <v>2656</v>
      </c>
      <c r="D2961" s="1" t="str">
        <f>IFERROR(__xludf.DUMMYFUNCTION("GOOGLETRANSLATE(C2961, ""zh-CN"", ""en"")"),"Yan'an City")</f>
        <v>Yan'an City</v>
      </c>
      <c r="E2961" s="1" t="s">
        <v>2721</v>
      </c>
      <c r="F2961" s="1" t="str">
        <f>IFERROR(__xludf.DUMMYFUNCTION("GOOGLETRANSLATE(E2961, ""zh-CN"", ""en"")"),"Luochuan County")</f>
        <v>Luochuan County</v>
      </c>
      <c r="G2961" s="1">
        <v>6.10629E11</v>
      </c>
    </row>
    <row r="2962">
      <c r="A2962" s="1" t="s">
        <v>2650</v>
      </c>
      <c r="B2962" s="1" t="str">
        <f>IFERROR(__xludf.DUMMYFUNCTION("GOOGLETRANSLATE(A2888, ""zh-CN"", ""en"")"),"Shaanxi Province")</f>
        <v>Shaanxi Province</v>
      </c>
      <c r="C2962" s="1" t="s">
        <v>2656</v>
      </c>
      <c r="D2962" s="1" t="str">
        <f>IFERROR(__xludf.DUMMYFUNCTION("GOOGLETRANSLATE(C2962, ""zh-CN"", ""en"")"),"Yan'an City")</f>
        <v>Yan'an City</v>
      </c>
      <c r="E2962" s="1" t="s">
        <v>2722</v>
      </c>
      <c r="F2962" s="1" t="str">
        <f>IFERROR(__xludf.DUMMYFUNCTION("GOOGLETRANSLATE(E2962, ""zh-CN"", ""en"")"),"Yichuan County")</f>
        <v>Yichuan County</v>
      </c>
      <c r="G2962" s="1">
        <v>6.1063E11</v>
      </c>
    </row>
    <row r="2963">
      <c r="A2963" s="1" t="s">
        <v>2650</v>
      </c>
      <c r="B2963" s="1" t="str">
        <f>IFERROR(__xludf.DUMMYFUNCTION("GOOGLETRANSLATE(A2889, ""zh-CN"", ""en"")"),"Shaanxi Province")</f>
        <v>Shaanxi Province</v>
      </c>
      <c r="C2963" s="1" t="s">
        <v>2656</v>
      </c>
      <c r="D2963" s="1" t="str">
        <f>IFERROR(__xludf.DUMMYFUNCTION("GOOGLETRANSLATE(C2963, ""zh-CN"", ""en"")"),"Yan'an City")</f>
        <v>Yan'an City</v>
      </c>
      <c r="E2963" s="1" t="s">
        <v>2723</v>
      </c>
      <c r="F2963" s="1" t="str">
        <f>IFERROR(__xludf.DUMMYFUNCTION("GOOGLETRANSLATE(E2963, ""zh-CN"", ""en"")"),"Huanglong County")</f>
        <v>Huanglong County</v>
      </c>
      <c r="G2963" s="1">
        <v>6.10631E11</v>
      </c>
    </row>
    <row r="2964">
      <c r="A2964" s="1" t="s">
        <v>2650</v>
      </c>
      <c r="B2964" s="1" t="str">
        <f>IFERROR(__xludf.DUMMYFUNCTION("GOOGLETRANSLATE(A2890, ""zh-CN"", ""en"")"),"Shaanxi Province")</f>
        <v>Shaanxi Province</v>
      </c>
      <c r="C2964" s="1" t="s">
        <v>2656</v>
      </c>
      <c r="D2964" s="1" t="str">
        <f>IFERROR(__xludf.DUMMYFUNCTION("GOOGLETRANSLATE(C2964, ""zh-CN"", ""en"")"),"Yan'an City")</f>
        <v>Yan'an City</v>
      </c>
      <c r="E2964" s="1" t="s">
        <v>2724</v>
      </c>
      <c r="F2964" s="1" t="str">
        <f>IFERROR(__xludf.DUMMYFUNCTION("GOOGLETRANSLATE(E2964, ""zh-CN"", ""en"")"),"Huangling County")</f>
        <v>Huangling County</v>
      </c>
      <c r="G2964" s="1">
        <v>6.10632E11</v>
      </c>
    </row>
    <row r="2965">
      <c r="A2965" s="1" t="s">
        <v>2650</v>
      </c>
      <c r="B2965" s="1" t="str">
        <f>IFERROR(__xludf.DUMMYFUNCTION("GOOGLETRANSLATE(A2891, ""zh-CN"", ""en"")"),"Shaanxi Province")</f>
        <v>Shaanxi Province</v>
      </c>
      <c r="C2965" s="1" t="s">
        <v>2656</v>
      </c>
      <c r="D2965" s="1" t="str">
        <f>IFERROR(__xludf.DUMMYFUNCTION("GOOGLETRANSLATE(C2965, ""zh-CN"", ""en"")"),"Yan'an City")</f>
        <v>Yan'an City</v>
      </c>
      <c r="E2965" s="1" t="s">
        <v>2725</v>
      </c>
      <c r="F2965" s="1" t="str">
        <f>IFERROR(__xludf.DUMMYFUNCTION("GOOGLETRANSLATE(E2965, ""zh-CN"", ""en"")"),"Zichang City")</f>
        <v>Zichang City</v>
      </c>
      <c r="G2965" s="1">
        <v>6.10681E11</v>
      </c>
    </row>
    <row r="2966">
      <c r="A2966" s="1" t="s">
        <v>2650</v>
      </c>
      <c r="B2966" s="1" t="str">
        <f>IFERROR(__xludf.DUMMYFUNCTION("GOOGLETRANSLATE(A2892, ""zh-CN"", ""en"")"),"Shaanxi Province")</f>
        <v>Shaanxi Province</v>
      </c>
      <c r="C2966" s="1" t="s">
        <v>2657</v>
      </c>
      <c r="D2966" s="1" t="str">
        <f>IFERROR(__xludf.DUMMYFUNCTION("GOOGLETRANSLATE(C2966, ""zh-CN"", ""en"")"),"Hanzhong City")</f>
        <v>Hanzhong City</v>
      </c>
      <c r="E2966" s="1" t="s">
        <v>24</v>
      </c>
      <c r="F2966" s="1" t="str">
        <f>IFERROR(__xludf.DUMMYFUNCTION("GOOGLETRANSLATE(E2966, ""zh-CN"", ""en"")"),"City area")</f>
        <v>City area</v>
      </c>
      <c r="G2966" s="1">
        <v>6.10701E11</v>
      </c>
    </row>
    <row r="2967">
      <c r="A2967" s="1" t="s">
        <v>2650</v>
      </c>
      <c r="B2967" s="1" t="str">
        <f>IFERROR(__xludf.DUMMYFUNCTION("GOOGLETRANSLATE(A2893, ""zh-CN"", ""en"")"),"Shaanxi Province")</f>
        <v>Shaanxi Province</v>
      </c>
      <c r="C2967" s="1" t="s">
        <v>2657</v>
      </c>
      <c r="D2967" s="1" t="str">
        <f>IFERROR(__xludf.DUMMYFUNCTION("GOOGLETRANSLATE(C2967, ""zh-CN"", ""en"")"),"Hanzhong City")</f>
        <v>Hanzhong City</v>
      </c>
      <c r="E2967" s="1" t="s">
        <v>2726</v>
      </c>
      <c r="F2967" s="1" t="str">
        <f>IFERROR(__xludf.DUMMYFUNCTION("GOOGLETRANSLATE(E2967, ""zh-CN"", ""en"")"),"Hantai District")</f>
        <v>Hantai District</v>
      </c>
      <c r="G2967" s="1">
        <v>6.10702E11</v>
      </c>
    </row>
    <row r="2968">
      <c r="A2968" s="1" t="s">
        <v>2650</v>
      </c>
      <c r="B2968" s="1" t="str">
        <f>IFERROR(__xludf.DUMMYFUNCTION("GOOGLETRANSLATE(A2894, ""zh-CN"", ""en"")"),"Shaanxi Province")</f>
        <v>Shaanxi Province</v>
      </c>
      <c r="C2968" s="1" t="s">
        <v>2657</v>
      </c>
      <c r="D2968" s="1" t="str">
        <f>IFERROR(__xludf.DUMMYFUNCTION("GOOGLETRANSLATE(C2968, ""zh-CN"", ""en"")"),"Hanzhong City")</f>
        <v>Hanzhong City</v>
      </c>
      <c r="E2968" s="1" t="s">
        <v>2727</v>
      </c>
      <c r="F2968" s="1" t="str">
        <f>IFERROR(__xludf.DUMMYFUNCTION("GOOGLETRANSLATE(E2968, ""zh-CN"", ""en"")"),"Nanzheng District")</f>
        <v>Nanzheng District</v>
      </c>
      <c r="G2968" s="1">
        <v>6.10703E11</v>
      </c>
    </row>
    <row r="2969">
      <c r="A2969" s="1" t="s">
        <v>2650</v>
      </c>
      <c r="B2969" s="1" t="str">
        <f>IFERROR(__xludf.DUMMYFUNCTION("GOOGLETRANSLATE(A2895, ""zh-CN"", ""en"")"),"Shaanxi Province")</f>
        <v>Shaanxi Province</v>
      </c>
      <c r="C2969" s="1" t="s">
        <v>2657</v>
      </c>
      <c r="D2969" s="1" t="str">
        <f>IFERROR(__xludf.DUMMYFUNCTION("GOOGLETRANSLATE(C2969, ""zh-CN"", ""en"")"),"Hanzhong City")</f>
        <v>Hanzhong City</v>
      </c>
      <c r="E2969" s="1" t="s">
        <v>2728</v>
      </c>
      <c r="F2969" s="1" t="str">
        <f>IFERROR(__xludf.DUMMYFUNCTION("GOOGLETRANSLATE(E2969, ""zh-CN"", ""en"")"),"Chenggu County")</f>
        <v>Chenggu County</v>
      </c>
      <c r="G2969" s="1">
        <v>6.10722E11</v>
      </c>
    </row>
    <row r="2970">
      <c r="A2970" s="1" t="s">
        <v>2650</v>
      </c>
      <c r="B2970" s="1" t="str">
        <f>IFERROR(__xludf.DUMMYFUNCTION("GOOGLETRANSLATE(A2896, ""zh-CN"", ""en"")"),"Shaanxi Province")</f>
        <v>Shaanxi Province</v>
      </c>
      <c r="C2970" s="1" t="s">
        <v>2657</v>
      </c>
      <c r="D2970" s="1" t="str">
        <f>IFERROR(__xludf.DUMMYFUNCTION("GOOGLETRANSLATE(C2970, ""zh-CN"", ""en"")"),"Hanzhong City")</f>
        <v>Hanzhong City</v>
      </c>
      <c r="E2970" s="1" t="s">
        <v>2729</v>
      </c>
      <c r="F2970" s="1" t="str">
        <f>IFERROR(__xludf.DUMMYFUNCTION("GOOGLETRANSLATE(E2970, ""zh-CN"", ""en"")"),"Prefecture")</f>
        <v>Prefecture</v>
      </c>
      <c r="G2970" s="1">
        <v>6.10723E11</v>
      </c>
    </row>
    <row r="2971">
      <c r="A2971" s="1" t="s">
        <v>2650</v>
      </c>
      <c r="B2971" s="1" t="str">
        <f>IFERROR(__xludf.DUMMYFUNCTION("GOOGLETRANSLATE(A2897, ""zh-CN"", ""en"")"),"Shaanxi Province")</f>
        <v>Shaanxi Province</v>
      </c>
      <c r="C2971" s="1" t="s">
        <v>2657</v>
      </c>
      <c r="D2971" s="1" t="str">
        <f>IFERROR(__xludf.DUMMYFUNCTION("GOOGLETRANSLATE(C2971, ""zh-CN"", ""en"")"),"Hanzhong City")</f>
        <v>Hanzhong City</v>
      </c>
      <c r="E2971" s="1" t="s">
        <v>2730</v>
      </c>
      <c r="F2971" s="1" t="str">
        <f>IFERROR(__xludf.DUMMYFUNCTION("GOOGLETRANSLATE(E2971, ""zh-CN"", ""en"")"),"Xixiang County")</f>
        <v>Xixiang County</v>
      </c>
      <c r="G2971" s="1">
        <v>6.10724E11</v>
      </c>
    </row>
    <row r="2972">
      <c r="A2972" s="1" t="s">
        <v>2650</v>
      </c>
      <c r="B2972" s="1" t="str">
        <f>IFERROR(__xludf.DUMMYFUNCTION("GOOGLETRANSLATE(A2898, ""zh-CN"", ""en"")"),"Shaanxi Province")</f>
        <v>Shaanxi Province</v>
      </c>
      <c r="C2972" s="1" t="s">
        <v>2657</v>
      </c>
      <c r="D2972" s="1" t="str">
        <f>IFERROR(__xludf.DUMMYFUNCTION("GOOGLETRANSLATE(C2972, ""zh-CN"", ""en"")"),"Hanzhong City")</f>
        <v>Hanzhong City</v>
      </c>
      <c r="E2972" s="1" t="s">
        <v>2731</v>
      </c>
      <c r="F2972" s="1" t="str">
        <f>IFERROR(__xludf.DUMMYFUNCTION("GOOGLETRANSLATE(E2972, ""zh-CN"", ""en"")"),"Mian County")</f>
        <v>Mian County</v>
      </c>
      <c r="G2972" s="1">
        <v>6.10725E11</v>
      </c>
    </row>
    <row r="2973">
      <c r="A2973" s="1" t="s">
        <v>2650</v>
      </c>
      <c r="B2973" s="1" t="str">
        <f>IFERROR(__xludf.DUMMYFUNCTION("GOOGLETRANSLATE(A2899, ""zh-CN"", ""en"")"),"Shaanxi Province")</f>
        <v>Shaanxi Province</v>
      </c>
      <c r="C2973" s="1" t="s">
        <v>2657</v>
      </c>
      <c r="D2973" s="1" t="str">
        <f>IFERROR(__xludf.DUMMYFUNCTION("GOOGLETRANSLATE(C2973, ""zh-CN"", ""en"")"),"Hanzhong City")</f>
        <v>Hanzhong City</v>
      </c>
      <c r="E2973" s="1" t="s">
        <v>2732</v>
      </c>
      <c r="F2973" s="1" t="str">
        <f>IFERROR(__xludf.DUMMYFUNCTION("GOOGLETRANSLATE(E2973, ""zh-CN"", ""en"")"),"Ningqiang County")</f>
        <v>Ningqiang County</v>
      </c>
      <c r="G2973" s="1">
        <v>6.10726E11</v>
      </c>
    </row>
    <row r="2974">
      <c r="A2974" s="1" t="s">
        <v>2650</v>
      </c>
      <c r="B2974" s="1" t="str">
        <f>IFERROR(__xludf.DUMMYFUNCTION("GOOGLETRANSLATE(A2900, ""zh-CN"", ""en"")"),"Shaanxi Province")</f>
        <v>Shaanxi Province</v>
      </c>
      <c r="C2974" s="1" t="s">
        <v>2657</v>
      </c>
      <c r="D2974" s="1" t="str">
        <f>IFERROR(__xludf.DUMMYFUNCTION("GOOGLETRANSLATE(C2974, ""zh-CN"", ""en"")"),"Hanzhong City")</f>
        <v>Hanzhong City</v>
      </c>
      <c r="E2974" s="1" t="s">
        <v>2733</v>
      </c>
      <c r="F2974" s="1" t="str">
        <f>IFERROR(__xludf.DUMMYFUNCTION("GOOGLETRANSLATE(E2974, ""zh-CN"", ""en"")"),"Lueyang County")</f>
        <v>Lueyang County</v>
      </c>
      <c r="G2974" s="1">
        <v>6.10727E11</v>
      </c>
    </row>
    <row r="2975">
      <c r="A2975" s="1" t="s">
        <v>2650</v>
      </c>
      <c r="B2975" s="1" t="str">
        <f>IFERROR(__xludf.DUMMYFUNCTION("GOOGLETRANSLATE(A2901, ""zh-CN"", ""en"")"),"Shaanxi Province")</f>
        <v>Shaanxi Province</v>
      </c>
      <c r="C2975" s="1" t="s">
        <v>2657</v>
      </c>
      <c r="D2975" s="1" t="str">
        <f>IFERROR(__xludf.DUMMYFUNCTION("GOOGLETRANSLATE(C2975, ""zh-CN"", ""en"")"),"Hanzhong City")</f>
        <v>Hanzhong City</v>
      </c>
      <c r="E2975" s="1" t="s">
        <v>2734</v>
      </c>
      <c r="F2975" s="1" t="str">
        <f>IFERROR(__xludf.DUMMYFUNCTION("GOOGLETRANSLATE(E2975, ""zh-CN"", ""en"")"),"Zhenba County")</f>
        <v>Zhenba County</v>
      </c>
      <c r="G2975" s="1">
        <v>6.10728E11</v>
      </c>
    </row>
    <row r="2976">
      <c r="A2976" s="1" t="s">
        <v>2650</v>
      </c>
      <c r="B2976" s="1" t="str">
        <f>IFERROR(__xludf.DUMMYFUNCTION("GOOGLETRANSLATE(A2902, ""zh-CN"", ""en"")"),"Shaanxi Province")</f>
        <v>Shaanxi Province</v>
      </c>
      <c r="C2976" s="1" t="s">
        <v>2657</v>
      </c>
      <c r="D2976" s="1" t="str">
        <f>IFERROR(__xludf.DUMMYFUNCTION("GOOGLETRANSLATE(C2976, ""zh-CN"", ""en"")"),"Hanzhong City")</f>
        <v>Hanzhong City</v>
      </c>
      <c r="E2976" s="1" t="s">
        <v>2735</v>
      </c>
      <c r="F2976" s="1" t="str">
        <f>IFERROR(__xludf.DUMMYFUNCTION("GOOGLETRANSLATE(E2976, ""zh-CN"", ""en"")"),"Liuba County")</f>
        <v>Liuba County</v>
      </c>
      <c r="G2976" s="1">
        <v>6.10729E11</v>
      </c>
    </row>
    <row r="2977">
      <c r="A2977" s="1" t="s">
        <v>2650</v>
      </c>
      <c r="B2977" s="1" t="str">
        <f>IFERROR(__xludf.DUMMYFUNCTION("GOOGLETRANSLATE(A2903, ""zh-CN"", ""en"")"),"Shaanxi Province")</f>
        <v>Shaanxi Province</v>
      </c>
      <c r="C2977" s="1" t="s">
        <v>2657</v>
      </c>
      <c r="D2977" s="1" t="str">
        <f>IFERROR(__xludf.DUMMYFUNCTION("GOOGLETRANSLATE(C2977, ""zh-CN"", ""en"")"),"Hanzhong City")</f>
        <v>Hanzhong City</v>
      </c>
      <c r="E2977" s="1" t="s">
        <v>2736</v>
      </c>
      <c r="F2977" s="1" t="str">
        <f>IFERROR(__xludf.DUMMYFUNCTION("GOOGLETRANSLATE(E2977, ""zh-CN"", ""en"")"),"Ferping County")</f>
        <v>Ferping County</v>
      </c>
      <c r="G2977" s="1">
        <v>6.1073E11</v>
      </c>
    </row>
    <row r="2978">
      <c r="A2978" s="1" t="s">
        <v>2650</v>
      </c>
      <c r="B2978" s="1" t="str">
        <f>IFERROR(__xludf.DUMMYFUNCTION("GOOGLETRANSLATE(A2904, ""zh-CN"", ""en"")"),"Shaanxi Province")</f>
        <v>Shaanxi Province</v>
      </c>
      <c r="C2978" s="1" t="s">
        <v>2658</v>
      </c>
      <c r="D2978" s="1" t="str">
        <f>IFERROR(__xludf.DUMMYFUNCTION("GOOGLETRANSLATE(C2978, ""zh-CN"", ""en"")"),"Yulin City")</f>
        <v>Yulin City</v>
      </c>
      <c r="E2978" s="1" t="s">
        <v>24</v>
      </c>
      <c r="F2978" s="1" t="str">
        <f>IFERROR(__xludf.DUMMYFUNCTION("GOOGLETRANSLATE(E2978, ""zh-CN"", ""en"")"),"City area")</f>
        <v>City area</v>
      </c>
      <c r="G2978" s="1">
        <v>6.10801E11</v>
      </c>
    </row>
    <row r="2979">
      <c r="A2979" s="1" t="s">
        <v>2650</v>
      </c>
      <c r="B2979" s="1" t="str">
        <f>IFERROR(__xludf.DUMMYFUNCTION("GOOGLETRANSLATE(A2905, ""zh-CN"", ""en"")"),"Shaanxi Province")</f>
        <v>Shaanxi Province</v>
      </c>
      <c r="C2979" s="1" t="s">
        <v>2658</v>
      </c>
      <c r="D2979" s="1" t="str">
        <f>IFERROR(__xludf.DUMMYFUNCTION("GOOGLETRANSLATE(C2979, ""zh-CN"", ""en"")"),"Yulin City")</f>
        <v>Yulin City</v>
      </c>
      <c r="E2979" s="1" t="s">
        <v>2737</v>
      </c>
      <c r="F2979" s="1" t="str">
        <f>IFERROR(__xludf.DUMMYFUNCTION("GOOGLETRANSLATE(E2979, ""zh-CN"", ""en"")"),"Yuyang District")</f>
        <v>Yuyang District</v>
      </c>
      <c r="G2979" s="1">
        <v>6.10802E11</v>
      </c>
    </row>
    <row r="2980">
      <c r="A2980" s="1" t="s">
        <v>2650</v>
      </c>
      <c r="B2980" s="1" t="str">
        <f>IFERROR(__xludf.DUMMYFUNCTION("GOOGLETRANSLATE(A2906, ""zh-CN"", ""en"")"),"Shaanxi Province")</f>
        <v>Shaanxi Province</v>
      </c>
      <c r="C2980" s="1" t="s">
        <v>2658</v>
      </c>
      <c r="D2980" s="1" t="str">
        <f>IFERROR(__xludf.DUMMYFUNCTION("GOOGLETRANSLATE(C2980, ""zh-CN"", ""en"")"),"Yulin City")</f>
        <v>Yulin City</v>
      </c>
      <c r="E2980" s="1" t="s">
        <v>2738</v>
      </c>
      <c r="F2980" s="1" t="str">
        <f>IFERROR(__xludf.DUMMYFUNCTION("GOOGLETRANSLATE(E2980, ""zh-CN"", ""en"")"),"Hengshan area")</f>
        <v>Hengshan area</v>
      </c>
      <c r="G2980" s="1">
        <v>6.10803E11</v>
      </c>
    </row>
    <row r="2981">
      <c r="A2981" s="1" t="s">
        <v>2650</v>
      </c>
      <c r="B2981" s="1" t="str">
        <f>IFERROR(__xludf.DUMMYFUNCTION("GOOGLETRANSLATE(A2907, ""zh-CN"", ""en"")"),"Shaanxi Province")</f>
        <v>Shaanxi Province</v>
      </c>
      <c r="C2981" s="1" t="s">
        <v>2658</v>
      </c>
      <c r="D2981" s="1" t="str">
        <f>IFERROR(__xludf.DUMMYFUNCTION("GOOGLETRANSLATE(C2981, ""zh-CN"", ""en"")"),"Yulin City")</f>
        <v>Yulin City</v>
      </c>
      <c r="E2981" s="1" t="s">
        <v>2739</v>
      </c>
      <c r="F2981" s="1" t="str">
        <f>IFERROR(__xludf.DUMMYFUNCTION("GOOGLETRANSLATE(E2981, ""zh-CN"", ""en"")"),"Fugu County")</f>
        <v>Fugu County</v>
      </c>
      <c r="G2981" s="1">
        <v>6.10822E11</v>
      </c>
    </row>
    <row r="2982">
      <c r="A2982" s="1" t="s">
        <v>2650</v>
      </c>
      <c r="B2982" s="1" t="str">
        <f>IFERROR(__xludf.DUMMYFUNCTION("GOOGLETRANSLATE(A2908, ""zh-CN"", ""en"")"),"Shaanxi Province")</f>
        <v>Shaanxi Province</v>
      </c>
      <c r="C2982" s="1" t="s">
        <v>2658</v>
      </c>
      <c r="D2982" s="1" t="str">
        <f>IFERROR(__xludf.DUMMYFUNCTION("GOOGLETRANSLATE(C2982, ""zh-CN"", ""en"")"),"Yulin City")</f>
        <v>Yulin City</v>
      </c>
      <c r="E2982" s="1" t="s">
        <v>2740</v>
      </c>
      <c r="F2982" s="1" t="str">
        <f>IFERROR(__xludf.DUMMYFUNCTION("GOOGLETRANSLATE(E2982, ""zh-CN"", ""en"")"),"Jingbian County")</f>
        <v>Jingbian County</v>
      </c>
      <c r="G2982" s="1">
        <v>6.10824E11</v>
      </c>
    </row>
    <row r="2983">
      <c r="A2983" s="1" t="s">
        <v>2650</v>
      </c>
      <c r="B2983" s="1" t="str">
        <f>IFERROR(__xludf.DUMMYFUNCTION("GOOGLETRANSLATE(A2909, ""zh-CN"", ""en"")"),"Shaanxi Province")</f>
        <v>Shaanxi Province</v>
      </c>
      <c r="C2983" s="1" t="s">
        <v>2658</v>
      </c>
      <c r="D2983" s="1" t="str">
        <f>IFERROR(__xludf.DUMMYFUNCTION("GOOGLETRANSLATE(C2983, ""zh-CN"", ""en"")"),"Yulin City")</f>
        <v>Yulin City</v>
      </c>
      <c r="E2983" s="1" t="s">
        <v>2741</v>
      </c>
      <c r="F2983" s="1" t="str">
        <f>IFERROR(__xludf.DUMMYFUNCTION("GOOGLETRANSLATE(E2983, ""zh-CN"", ""en"")"),"Dingbian County")</f>
        <v>Dingbian County</v>
      </c>
      <c r="G2983" s="1">
        <v>6.10825E11</v>
      </c>
    </row>
    <row r="2984">
      <c r="A2984" s="1" t="s">
        <v>2650</v>
      </c>
      <c r="B2984" s="1" t="str">
        <f>IFERROR(__xludf.DUMMYFUNCTION("GOOGLETRANSLATE(A2910, ""zh-CN"", ""en"")"),"Shaanxi Province")</f>
        <v>Shaanxi Province</v>
      </c>
      <c r="C2984" s="1" t="s">
        <v>2658</v>
      </c>
      <c r="D2984" s="1" t="str">
        <f>IFERROR(__xludf.DUMMYFUNCTION("GOOGLETRANSLATE(C2984, ""zh-CN"", ""en"")"),"Yulin City")</f>
        <v>Yulin City</v>
      </c>
      <c r="E2984" s="1" t="s">
        <v>2742</v>
      </c>
      <c r="F2984" s="1" t="str">
        <f>IFERROR(__xludf.DUMMYFUNCTION("GOOGLETRANSLATE(E2984, ""zh-CN"", ""en"")"),"Suide County")</f>
        <v>Suide County</v>
      </c>
      <c r="G2984" s="1">
        <v>6.10826E11</v>
      </c>
    </row>
    <row r="2985">
      <c r="A2985" s="1" t="s">
        <v>2650</v>
      </c>
      <c r="B2985" s="1" t="str">
        <f>IFERROR(__xludf.DUMMYFUNCTION("GOOGLETRANSLATE(A2911, ""zh-CN"", ""en"")"),"Shaanxi Province")</f>
        <v>Shaanxi Province</v>
      </c>
      <c r="C2985" s="1" t="s">
        <v>2658</v>
      </c>
      <c r="D2985" s="1" t="str">
        <f>IFERROR(__xludf.DUMMYFUNCTION("GOOGLETRANSLATE(C2985, ""zh-CN"", ""en"")"),"Yulin City")</f>
        <v>Yulin City</v>
      </c>
      <c r="E2985" s="1" t="s">
        <v>2743</v>
      </c>
      <c r="F2985" s="1" t="str">
        <f>IFERROR(__xludf.DUMMYFUNCTION("GOOGLETRANSLATE(E2985, ""zh-CN"", ""en"")"),"Mizhi County")</f>
        <v>Mizhi County</v>
      </c>
      <c r="G2985" s="1">
        <v>6.10827E11</v>
      </c>
    </row>
    <row r="2986">
      <c r="A2986" s="1" t="s">
        <v>2650</v>
      </c>
      <c r="B2986" s="1" t="str">
        <f>IFERROR(__xludf.DUMMYFUNCTION("GOOGLETRANSLATE(A2912, ""zh-CN"", ""en"")"),"Shaanxi Province")</f>
        <v>Shaanxi Province</v>
      </c>
      <c r="C2986" s="1" t="s">
        <v>2658</v>
      </c>
      <c r="D2986" s="1" t="str">
        <f>IFERROR(__xludf.DUMMYFUNCTION("GOOGLETRANSLATE(C2986, ""zh-CN"", ""en"")"),"Yulin City")</f>
        <v>Yulin City</v>
      </c>
      <c r="E2986" s="1" t="s">
        <v>2744</v>
      </c>
      <c r="F2986" s="1" t="str">
        <f>IFERROR(__xludf.DUMMYFUNCTION("GOOGLETRANSLATE(E2986, ""zh-CN"", ""en"")"),"Good county")</f>
        <v>Good county</v>
      </c>
      <c r="G2986" s="1">
        <v>6.10828E11</v>
      </c>
    </row>
    <row r="2987">
      <c r="A2987" s="1" t="s">
        <v>2650</v>
      </c>
      <c r="B2987" s="1" t="str">
        <f>IFERROR(__xludf.DUMMYFUNCTION("GOOGLETRANSLATE(A2913, ""zh-CN"", ""en"")"),"Shaanxi Province")</f>
        <v>Shaanxi Province</v>
      </c>
      <c r="C2987" s="1" t="s">
        <v>2658</v>
      </c>
      <c r="D2987" s="1" t="str">
        <f>IFERROR(__xludf.DUMMYFUNCTION("GOOGLETRANSLATE(C2987, ""zh-CN"", ""en"")"),"Yulin City")</f>
        <v>Yulin City</v>
      </c>
      <c r="E2987" s="1" t="s">
        <v>2745</v>
      </c>
      <c r="F2987" s="1" t="str">
        <f>IFERROR(__xludf.DUMMYFUNCTION("GOOGLETRANSLATE(E2987, ""zh-CN"", ""en"")"),"Wubao County")</f>
        <v>Wubao County</v>
      </c>
      <c r="G2987" s="1">
        <v>6.10829E11</v>
      </c>
    </row>
    <row r="2988">
      <c r="A2988" s="1" t="s">
        <v>2650</v>
      </c>
      <c r="B2988" s="1" t="str">
        <f>IFERROR(__xludf.DUMMYFUNCTION("GOOGLETRANSLATE(A2914, ""zh-CN"", ""en"")"),"Shaanxi Province")</f>
        <v>Shaanxi Province</v>
      </c>
      <c r="C2988" s="1" t="s">
        <v>2658</v>
      </c>
      <c r="D2988" s="1" t="str">
        <f>IFERROR(__xludf.DUMMYFUNCTION("GOOGLETRANSLATE(C2988, ""zh-CN"", ""en"")"),"Yulin City")</f>
        <v>Yulin City</v>
      </c>
      <c r="E2988" s="1" t="s">
        <v>2746</v>
      </c>
      <c r="F2988" s="1" t="str">
        <f>IFERROR(__xludf.DUMMYFUNCTION("GOOGLETRANSLATE(E2988, ""zh-CN"", ""en"")"),"Qingxi County")</f>
        <v>Qingxi County</v>
      </c>
      <c r="G2988" s="1">
        <v>6.1083E11</v>
      </c>
    </row>
    <row r="2989">
      <c r="A2989" s="1" t="s">
        <v>2650</v>
      </c>
      <c r="B2989" s="1" t="str">
        <f>IFERROR(__xludf.DUMMYFUNCTION("GOOGLETRANSLATE(A2915, ""zh-CN"", ""en"")"),"Shaanxi Province")</f>
        <v>Shaanxi Province</v>
      </c>
      <c r="C2989" s="1" t="s">
        <v>2658</v>
      </c>
      <c r="D2989" s="1" t="str">
        <f>IFERROR(__xludf.DUMMYFUNCTION("GOOGLETRANSLATE(C2989, ""zh-CN"", ""en"")"),"Yulin City")</f>
        <v>Yulin City</v>
      </c>
      <c r="E2989" s="1" t="s">
        <v>2747</v>
      </c>
      <c r="F2989" s="1" t="str">
        <f>IFERROR(__xludf.DUMMYFUNCTION("GOOGLETRANSLATE(E2989, ""zh-CN"", ""en"")"),"Zizhou County")</f>
        <v>Zizhou County</v>
      </c>
      <c r="G2989" s="1">
        <v>6.10831E11</v>
      </c>
    </row>
    <row r="2990">
      <c r="A2990" s="1" t="s">
        <v>2650</v>
      </c>
      <c r="B2990" s="1" t="str">
        <f>IFERROR(__xludf.DUMMYFUNCTION("GOOGLETRANSLATE(A2916, ""zh-CN"", ""en"")"),"Shaanxi Province")</f>
        <v>Shaanxi Province</v>
      </c>
      <c r="C2990" s="1" t="s">
        <v>2658</v>
      </c>
      <c r="D2990" s="1" t="str">
        <f>IFERROR(__xludf.DUMMYFUNCTION("GOOGLETRANSLATE(C2990, ""zh-CN"", ""en"")"),"Yulin City")</f>
        <v>Yulin City</v>
      </c>
      <c r="E2990" s="1" t="s">
        <v>2748</v>
      </c>
      <c r="F2990" s="1" t="str">
        <f>IFERROR(__xludf.DUMMYFUNCTION("GOOGLETRANSLATE(E2990, ""zh-CN"", ""en"")"),"Shenmu City")</f>
        <v>Shenmu City</v>
      </c>
      <c r="G2990" s="1">
        <v>6.10881E11</v>
      </c>
    </row>
    <row r="2991">
      <c r="A2991" s="1" t="s">
        <v>2650</v>
      </c>
      <c r="B2991" s="1" t="str">
        <f>IFERROR(__xludf.DUMMYFUNCTION("GOOGLETRANSLATE(A2917, ""zh-CN"", ""en"")"),"Shaanxi Province")</f>
        <v>Shaanxi Province</v>
      </c>
      <c r="C2991" s="1" t="s">
        <v>2659</v>
      </c>
      <c r="D2991" s="1" t="str">
        <f>IFERROR(__xludf.DUMMYFUNCTION("GOOGLETRANSLATE(C2991, ""zh-CN"", ""en"")"),"Ankang")</f>
        <v>Ankang</v>
      </c>
      <c r="E2991" s="1" t="s">
        <v>24</v>
      </c>
      <c r="F2991" s="1" t="str">
        <f>IFERROR(__xludf.DUMMYFUNCTION("GOOGLETRANSLATE(E2991, ""zh-CN"", ""en"")"),"City area")</f>
        <v>City area</v>
      </c>
      <c r="G2991" s="1">
        <v>6.10901E11</v>
      </c>
    </row>
    <row r="2992">
      <c r="A2992" s="1" t="s">
        <v>2650</v>
      </c>
      <c r="B2992" s="1" t="str">
        <f>IFERROR(__xludf.DUMMYFUNCTION("GOOGLETRANSLATE(A2918, ""zh-CN"", ""en"")"),"Shaanxi Province")</f>
        <v>Shaanxi Province</v>
      </c>
      <c r="C2992" s="1" t="s">
        <v>2659</v>
      </c>
      <c r="D2992" s="1" t="str">
        <f>IFERROR(__xludf.DUMMYFUNCTION("GOOGLETRANSLATE(C2992, ""zh-CN"", ""en"")"),"Ankang")</f>
        <v>Ankang</v>
      </c>
      <c r="E2992" s="1" t="s">
        <v>2749</v>
      </c>
      <c r="F2992" s="1" t="str">
        <f>IFERROR(__xludf.DUMMYFUNCTION("GOOGLETRANSLATE(E2992, ""zh-CN"", ""en"")"),"Hanbin District")</f>
        <v>Hanbin District</v>
      </c>
      <c r="G2992" s="1">
        <v>6.10902E11</v>
      </c>
    </row>
    <row r="2993">
      <c r="A2993" s="1" t="s">
        <v>2650</v>
      </c>
      <c r="B2993" s="1" t="str">
        <f>IFERROR(__xludf.DUMMYFUNCTION("GOOGLETRANSLATE(A2919, ""zh-CN"", ""en"")"),"Shaanxi Province")</f>
        <v>Shaanxi Province</v>
      </c>
      <c r="C2993" s="1" t="s">
        <v>2659</v>
      </c>
      <c r="D2993" s="1" t="str">
        <f>IFERROR(__xludf.DUMMYFUNCTION("GOOGLETRANSLATE(C2993, ""zh-CN"", ""en"")"),"Ankang")</f>
        <v>Ankang</v>
      </c>
      <c r="E2993" s="1" t="s">
        <v>2750</v>
      </c>
      <c r="F2993" s="1" t="str">
        <f>IFERROR(__xludf.DUMMYFUNCTION("GOOGLETRANSLATE(E2993, ""zh-CN"", ""en"")"),"Hanyin County")</f>
        <v>Hanyin County</v>
      </c>
      <c r="G2993" s="1">
        <v>6.10921E11</v>
      </c>
    </row>
    <row r="2994">
      <c r="A2994" s="1" t="s">
        <v>2650</v>
      </c>
      <c r="B2994" s="1" t="str">
        <f>IFERROR(__xludf.DUMMYFUNCTION("GOOGLETRANSLATE(A2920, ""zh-CN"", ""en"")"),"Shaanxi Province")</f>
        <v>Shaanxi Province</v>
      </c>
      <c r="C2994" s="1" t="s">
        <v>2659</v>
      </c>
      <c r="D2994" s="1" t="str">
        <f>IFERROR(__xludf.DUMMYFUNCTION("GOOGLETRANSLATE(C2994, ""zh-CN"", ""en"")"),"Ankang")</f>
        <v>Ankang</v>
      </c>
      <c r="E2994" s="1" t="s">
        <v>2751</v>
      </c>
      <c r="F2994" s="1" t="str">
        <f>IFERROR(__xludf.DUMMYFUNCTION("GOOGLETRANSLATE(E2994, ""zh-CN"", ""en"")"),"Shiquan County")</f>
        <v>Shiquan County</v>
      </c>
      <c r="G2994" s="1">
        <v>6.10922E11</v>
      </c>
    </row>
    <row r="2995">
      <c r="A2995" s="1" t="s">
        <v>2650</v>
      </c>
      <c r="B2995" s="1" t="str">
        <f>IFERROR(__xludf.DUMMYFUNCTION("GOOGLETRANSLATE(A2921, ""zh-CN"", ""en"")"),"Shaanxi Province")</f>
        <v>Shaanxi Province</v>
      </c>
      <c r="C2995" s="1" t="s">
        <v>2659</v>
      </c>
      <c r="D2995" s="1" t="str">
        <f>IFERROR(__xludf.DUMMYFUNCTION("GOOGLETRANSLATE(C2995, ""zh-CN"", ""en"")"),"Ankang")</f>
        <v>Ankang</v>
      </c>
      <c r="E2995" s="1" t="s">
        <v>2752</v>
      </c>
      <c r="F2995" s="1" t="str">
        <f>IFERROR(__xludf.DUMMYFUNCTION("GOOGLETRANSLATE(E2995, ""zh-CN"", ""en"")"),"Ningshan County")</f>
        <v>Ningshan County</v>
      </c>
      <c r="G2995" s="1">
        <v>6.10923E11</v>
      </c>
    </row>
    <row r="2996">
      <c r="A2996" s="1" t="s">
        <v>2650</v>
      </c>
      <c r="B2996" s="1" t="str">
        <f>IFERROR(__xludf.DUMMYFUNCTION("GOOGLETRANSLATE(A2922, ""zh-CN"", ""en"")"),"Shaanxi Province")</f>
        <v>Shaanxi Province</v>
      </c>
      <c r="C2996" s="1" t="s">
        <v>2659</v>
      </c>
      <c r="D2996" s="1" t="str">
        <f>IFERROR(__xludf.DUMMYFUNCTION("GOOGLETRANSLATE(C2996, ""zh-CN"", ""en"")"),"Ankang")</f>
        <v>Ankang</v>
      </c>
      <c r="E2996" s="1" t="s">
        <v>2753</v>
      </c>
      <c r="F2996" s="1" t="str">
        <f>IFERROR(__xludf.DUMMYFUNCTION("GOOGLETRANSLATE(E2996, ""zh-CN"", ""en"")"),"Ziyang County")</f>
        <v>Ziyang County</v>
      </c>
      <c r="G2996" s="1">
        <v>6.10924E11</v>
      </c>
    </row>
    <row r="2997">
      <c r="A2997" s="1" t="s">
        <v>2650</v>
      </c>
      <c r="B2997" s="1" t="str">
        <f>IFERROR(__xludf.DUMMYFUNCTION("GOOGLETRANSLATE(A2923, ""zh-CN"", ""en"")"),"Shaanxi Province")</f>
        <v>Shaanxi Province</v>
      </c>
      <c r="C2997" s="1" t="s">
        <v>2659</v>
      </c>
      <c r="D2997" s="1" t="str">
        <f>IFERROR(__xludf.DUMMYFUNCTION("GOOGLETRANSLATE(C2997, ""zh-CN"", ""en"")"),"Ankang")</f>
        <v>Ankang</v>
      </c>
      <c r="E2997" s="1" t="s">
        <v>2754</v>
      </c>
      <c r="F2997" s="1" t="str">
        <f>IFERROR(__xludf.DUMMYFUNCTION("GOOGLETRANSLATE(E2997, ""zh-CN"", ""en"")"),"Lanji County")</f>
        <v>Lanji County</v>
      </c>
      <c r="G2997" s="1">
        <v>6.10925E11</v>
      </c>
    </row>
    <row r="2998">
      <c r="A2998" s="1" t="s">
        <v>2650</v>
      </c>
      <c r="B2998" s="1" t="str">
        <f>IFERROR(__xludf.DUMMYFUNCTION("GOOGLETRANSLATE(A2924, ""zh-CN"", ""en"")"),"Shaanxi Province")</f>
        <v>Shaanxi Province</v>
      </c>
      <c r="C2998" s="1" t="s">
        <v>2659</v>
      </c>
      <c r="D2998" s="1" t="str">
        <f>IFERROR(__xludf.DUMMYFUNCTION("GOOGLETRANSLATE(C2998, ""zh-CN"", ""en"")"),"Ankang")</f>
        <v>Ankang</v>
      </c>
      <c r="E2998" s="1" t="s">
        <v>2755</v>
      </c>
      <c r="F2998" s="1" t="str">
        <f>IFERROR(__xludf.DUMMYFUNCTION("GOOGLETRANSLATE(E2998, ""zh-CN"", ""en"")"),"Pingli County")</f>
        <v>Pingli County</v>
      </c>
      <c r="G2998" s="1">
        <v>6.10926E11</v>
      </c>
    </row>
    <row r="2999">
      <c r="A2999" s="1" t="s">
        <v>2650</v>
      </c>
      <c r="B2999" s="1" t="str">
        <f>IFERROR(__xludf.DUMMYFUNCTION("GOOGLETRANSLATE(A2925, ""zh-CN"", ""en"")"),"Shaanxi Province")</f>
        <v>Shaanxi Province</v>
      </c>
      <c r="C2999" s="1" t="s">
        <v>2659</v>
      </c>
      <c r="D2999" s="1" t="str">
        <f>IFERROR(__xludf.DUMMYFUNCTION("GOOGLETRANSLATE(C2999, ""zh-CN"", ""en"")"),"Ankang")</f>
        <v>Ankang</v>
      </c>
      <c r="E2999" s="1" t="s">
        <v>2756</v>
      </c>
      <c r="F2999" s="1" t="str">
        <f>IFERROR(__xludf.DUMMYFUNCTION("GOOGLETRANSLATE(E2999, ""zh-CN"", ""en"")"),"Zhenping County")</f>
        <v>Zhenping County</v>
      </c>
      <c r="G2999" s="1">
        <v>6.10927E11</v>
      </c>
    </row>
    <row r="3000">
      <c r="A3000" s="1" t="s">
        <v>2650</v>
      </c>
      <c r="B3000" s="1" t="str">
        <f>IFERROR(__xludf.DUMMYFUNCTION("GOOGLETRANSLATE(A2926, ""zh-CN"", ""en"")"),"Shaanxi Province")</f>
        <v>Shaanxi Province</v>
      </c>
      <c r="C3000" s="1" t="s">
        <v>2659</v>
      </c>
      <c r="D3000" s="1" t="str">
        <f>IFERROR(__xludf.DUMMYFUNCTION("GOOGLETRANSLATE(C3000, ""zh-CN"", ""en"")"),"Ankang")</f>
        <v>Ankang</v>
      </c>
      <c r="E3000" s="1" t="s">
        <v>2757</v>
      </c>
      <c r="F3000" s="1" t="str">
        <f>IFERROR(__xludf.DUMMYFUNCTION("GOOGLETRANSLATE(E3000, ""zh-CN"", ""en"")"),"Baihe County")</f>
        <v>Baihe County</v>
      </c>
      <c r="G3000" s="1">
        <v>6.10929E11</v>
      </c>
    </row>
    <row r="3001">
      <c r="A3001" s="1" t="s">
        <v>2650</v>
      </c>
      <c r="B3001" s="1" t="str">
        <f>IFERROR(__xludf.DUMMYFUNCTION("GOOGLETRANSLATE(A2927, ""zh-CN"", ""en"")"),"Shaanxi Province")</f>
        <v>Shaanxi Province</v>
      </c>
      <c r="C3001" s="1" t="s">
        <v>2659</v>
      </c>
      <c r="D3001" s="1" t="str">
        <f>IFERROR(__xludf.DUMMYFUNCTION("GOOGLETRANSLATE(C3001, ""zh-CN"", ""en"")"),"Ankang")</f>
        <v>Ankang</v>
      </c>
      <c r="E3001" s="1" t="s">
        <v>2758</v>
      </c>
      <c r="F3001" s="1" t="str">
        <f>IFERROR(__xludf.DUMMYFUNCTION("GOOGLETRANSLATE(E3001, ""zh-CN"", ""en"")"),"Xunyang City")</f>
        <v>Xunyang City</v>
      </c>
      <c r="G3001" s="1">
        <v>6.10981E11</v>
      </c>
    </row>
    <row r="3002">
      <c r="A3002" s="1" t="s">
        <v>2650</v>
      </c>
      <c r="B3002" s="1" t="str">
        <f>IFERROR(__xludf.DUMMYFUNCTION("GOOGLETRANSLATE(A2928, ""zh-CN"", ""en"")"),"Shaanxi Province")</f>
        <v>Shaanxi Province</v>
      </c>
      <c r="C3002" s="1" t="s">
        <v>2660</v>
      </c>
      <c r="D3002" s="1" t="str">
        <f>IFERROR(__xludf.DUMMYFUNCTION("GOOGLETRANSLATE(C3002, ""zh-CN"", ""en"")"),"Shangluo City")</f>
        <v>Shangluo City</v>
      </c>
      <c r="E3002" s="1" t="s">
        <v>24</v>
      </c>
      <c r="F3002" s="1" t="str">
        <f>IFERROR(__xludf.DUMMYFUNCTION("GOOGLETRANSLATE(E3002, ""zh-CN"", ""en"")"),"City area")</f>
        <v>City area</v>
      </c>
      <c r="G3002" s="1">
        <v>6.11001E11</v>
      </c>
    </row>
    <row r="3003">
      <c r="A3003" s="1" t="s">
        <v>2650</v>
      </c>
      <c r="B3003" s="1" t="str">
        <f>IFERROR(__xludf.DUMMYFUNCTION("GOOGLETRANSLATE(A2929, ""zh-CN"", ""en"")"),"Shaanxi Province")</f>
        <v>Shaanxi Province</v>
      </c>
      <c r="C3003" s="1" t="s">
        <v>2660</v>
      </c>
      <c r="D3003" s="1" t="str">
        <f>IFERROR(__xludf.DUMMYFUNCTION("GOOGLETRANSLATE(C3003, ""zh-CN"", ""en"")"),"Shangluo City")</f>
        <v>Shangluo City</v>
      </c>
      <c r="E3003" s="1" t="s">
        <v>2759</v>
      </c>
      <c r="F3003" s="1" t="str">
        <f>IFERROR(__xludf.DUMMYFUNCTION("GOOGLETRANSLATE(E3003, ""zh-CN"", ""en"")"),"Shangzhou District")</f>
        <v>Shangzhou District</v>
      </c>
      <c r="G3003" s="1">
        <v>6.11002E11</v>
      </c>
    </row>
    <row r="3004">
      <c r="A3004" s="1" t="s">
        <v>2650</v>
      </c>
      <c r="B3004" s="1" t="str">
        <f>IFERROR(__xludf.DUMMYFUNCTION("GOOGLETRANSLATE(A2930, ""zh-CN"", ""en"")"),"Shaanxi Province")</f>
        <v>Shaanxi Province</v>
      </c>
      <c r="C3004" s="1" t="s">
        <v>2660</v>
      </c>
      <c r="D3004" s="1" t="str">
        <f>IFERROR(__xludf.DUMMYFUNCTION("GOOGLETRANSLATE(C3004, ""zh-CN"", ""en"")"),"Shangluo City")</f>
        <v>Shangluo City</v>
      </c>
      <c r="E3004" s="1" t="s">
        <v>2760</v>
      </c>
      <c r="F3004" s="1" t="str">
        <f>IFERROR(__xludf.DUMMYFUNCTION("GOOGLETRANSLATE(E3004, ""zh-CN"", ""en"")"),"Luonan County")</f>
        <v>Luonan County</v>
      </c>
      <c r="G3004" s="1">
        <v>6.11021E11</v>
      </c>
    </row>
    <row r="3005">
      <c r="A3005" s="1" t="s">
        <v>2650</v>
      </c>
      <c r="B3005" s="1" t="str">
        <f>IFERROR(__xludf.DUMMYFUNCTION("GOOGLETRANSLATE(A2931, ""zh-CN"", ""en"")"),"Shaanxi Province")</f>
        <v>Shaanxi Province</v>
      </c>
      <c r="C3005" s="1" t="s">
        <v>2660</v>
      </c>
      <c r="D3005" s="1" t="str">
        <f>IFERROR(__xludf.DUMMYFUNCTION("GOOGLETRANSLATE(C3005, ""zh-CN"", ""en"")"),"Shangluo City")</f>
        <v>Shangluo City</v>
      </c>
      <c r="E3005" s="1" t="s">
        <v>2761</v>
      </c>
      <c r="F3005" s="1" t="str">
        <f>IFERROR(__xludf.DUMMYFUNCTION("GOOGLETRANSLATE(E3005, ""zh-CN"", ""en"")"),"Danfeng County")</f>
        <v>Danfeng County</v>
      </c>
      <c r="G3005" s="1">
        <v>6.11022E11</v>
      </c>
    </row>
    <row r="3006">
      <c r="A3006" s="1" t="s">
        <v>2650</v>
      </c>
      <c r="B3006" s="1" t="str">
        <f>IFERROR(__xludf.DUMMYFUNCTION("GOOGLETRANSLATE(A2932, ""zh-CN"", ""en"")"),"Shaanxi Province")</f>
        <v>Shaanxi Province</v>
      </c>
      <c r="C3006" s="1" t="s">
        <v>2660</v>
      </c>
      <c r="D3006" s="1" t="str">
        <f>IFERROR(__xludf.DUMMYFUNCTION("GOOGLETRANSLATE(C3006, ""zh-CN"", ""en"")"),"Shangluo City")</f>
        <v>Shangluo City</v>
      </c>
      <c r="E3006" s="1" t="s">
        <v>2762</v>
      </c>
      <c r="F3006" s="1" t="str">
        <f>IFERROR(__xludf.DUMMYFUNCTION("GOOGLETRANSLATE(E3006, ""zh-CN"", ""en"")"),"Shangnan County")</f>
        <v>Shangnan County</v>
      </c>
      <c r="G3006" s="1">
        <v>6.11023E11</v>
      </c>
    </row>
    <row r="3007">
      <c r="A3007" s="1" t="s">
        <v>2650</v>
      </c>
      <c r="B3007" s="1" t="str">
        <f>IFERROR(__xludf.DUMMYFUNCTION("GOOGLETRANSLATE(A2933, ""zh-CN"", ""en"")"),"Shaanxi Province")</f>
        <v>Shaanxi Province</v>
      </c>
      <c r="C3007" s="1" t="s">
        <v>2660</v>
      </c>
      <c r="D3007" s="1" t="str">
        <f>IFERROR(__xludf.DUMMYFUNCTION("GOOGLETRANSLATE(C3007, ""zh-CN"", ""en"")"),"Shangluo City")</f>
        <v>Shangluo City</v>
      </c>
      <c r="E3007" s="1" t="s">
        <v>2763</v>
      </c>
      <c r="F3007" s="1" t="str">
        <f>IFERROR(__xludf.DUMMYFUNCTION("GOOGLETRANSLATE(E3007, ""zh-CN"", ""en"")"),"Shanyang County")</f>
        <v>Shanyang County</v>
      </c>
      <c r="G3007" s="1">
        <v>6.11024E11</v>
      </c>
    </row>
    <row r="3008">
      <c r="A3008" s="1" t="s">
        <v>2650</v>
      </c>
      <c r="B3008" s="1" t="str">
        <f>IFERROR(__xludf.DUMMYFUNCTION("GOOGLETRANSLATE(A2934, ""zh-CN"", ""en"")"),"Shaanxi Province")</f>
        <v>Shaanxi Province</v>
      </c>
      <c r="C3008" s="1" t="s">
        <v>2660</v>
      </c>
      <c r="D3008" s="1" t="str">
        <f>IFERROR(__xludf.DUMMYFUNCTION("GOOGLETRANSLATE(C3008, ""zh-CN"", ""en"")"),"Shangluo City")</f>
        <v>Shangluo City</v>
      </c>
      <c r="E3008" s="1" t="s">
        <v>2764</v>
      </c>
      <c r="F3008" s="1" t="str">
        <f>IFERROR(__xludf.DUMMYFUNCTION("GOOGLETRANSLATE(E3008, ""zh-CN"", ""en"")"),"Zhen'an County")</f>
        <v>Zhen'an County</v>
      </c>
      <c r="G3008" s="1">
        <v>6.11025E11</v>
      </c>
    </row>
    <row r="3009">
      <c r="A3009" s="1" t="s">
        <v>2650</v>
      </c>
      <c r="B3009" s="1" t="str">
        <f>IFERROR(__xludf.DUMMYFUNCTION("GOOGLETRANSLATE(A2935, ""zh-CN"", ""en"")"),"Shaanxi Province")</f>
        <v>Shaanxi Province</v>
      </c>
      <c r="C3009" s="1" t="s">
        <v>2660</v>
      </c>
      <c r="D3009" s="1" t="str">
        <f>IFERROR(__xludf.DUMMYFUNCTION("GOOGLETRANSLATE(C3009, ""zh-CN"", ""en"")"),"Shangluo City")</f>
        <v>Shangluo City</v>
      </c>
      <c r="E3009" s="1" t="s">
        <v>2765</v>
      </c>
      <c r="F3009" s="1" t="str">
        <f>IFERROR(__xludf.DUMMYFUNCTION("GOOGLETRANSLATE(E3009, ""zh-CN"", ""en"")"),"Lishui County")</f>
        <v>Lishui County</v>
      </c>
      <c r="G3009" s="1">
        <v>6.11026E11</v>
      </c>
    </row>
    <row r="3010">
      <c r="A3010" s="1" t="s">
        <v>2766</v>
      </c>
      <c r="B3010" s="1" t="str">
        <f>IFERROR(__xludf.DUMMYFUNCTION("GOOGLETRANSLATE(A2936, ""zh-CN"", ""en"")"),"Shaanxi Province")</f>
        <v>Shaanxi Province</v>
      </c>
      <c r="C3010" s="1" t="s">
        <v>8</v>
      </c>
      <c r="D3010" s="1" t="str">
        <f>IFERROR(__xludf.DUMMYFUNCTION("GOOGLETRANSLATE(C3010, ""zh-CN"", ""en"")"),"Na")</f>
        <v>Na</v>
      </c>
      <c r="E3010" s="1" t="s">
        <v>8</v>
      </c>
      <c r="F3010" s="1" t="str">
        <f>IFERROR(__xludf.DUMMYFUNCTION("GOOGLETRANSLATE(E3010, ""zh-CN"", ""en"")"),"Na")</f>
        <v>Na</v>
      </c>
      <c r="G3010" s="1">
        <v>50.0</v>
      </c>
    </row>
    <row r="3011">
      <c r="A3011" s="1" t="s">
        <v>2766</v>
      </c>
      <c r="B3011" s="1" t="str">
        <f>IFERROR(__xludf.DUMMYFUNCTION("GOOGLETRANSLATE(A2937, ""zh-CN"", ""en"")"),"Shaanxi Province")</f>
        <v>Shaanxi Province</v>
      </c>
      <c r="C3011" s="1" t="s">
        <v>24</v>
      </c>
      <c r="D3011" s="1" t="str">
        <f>IFERROR(__xludf.DUMMYFUNCTION("GOOGLETRANSLATE(C3011, ""zh-CN"", ""en"")"),"City area")</f>
        <v>City area</v>
      </c>
      <c r="E3011" s="1" t="s">
        <v>8</v>
      </c>
      <c r="F3011" s="1" t="str">
        <f>IFERROR(__xludf.DUMMYFUNCTION("GOOGLETRANSLATE(E3011, ""zh-CN"", ""en"")"),"Na")</f>
        <v>Na</v>
      </c>
      <c r="G3011" s="1">
        <v>5.001E11</v>
      </c>
    </row>
    <row r="3012">
      <c r="A3012" s="1" t="s">
        <v>2766</v>
      </c>
      <c r="B3012" s="1" t="str">
        <f>IFERROR(__xludf.DUMMYFUNCTION("GOOGLETRANSLATE(A2938, ""zh-CN"", ""en"")"),"Shaanxi Province")</f>
        <v>Shaanxi Province</v>
      </c>
      <c r="C3012" s="1" t="s">
        <v>2767</v>
      </c>
      <c r="D3012" s="1" t="str">
        <f>IFERROR(__xludf.DUMMYFUNCTION("GOOGLETRANSLATE(C3012, ""zh-CN"", ""en"")"),"county")</f>
        <v>county</v>
      </c>
      <c r="E3012" s="1" t="s">
        <v>8</v>
      </c>
      <c r="F3012" s="1" t="str">
        <f>IFERROR(__xludf.DUMMYFUNCTION("GOOGLETRANSLATE(E3012, ""zh-CN"", ""en"")"),"Na")</f>
        <v>Na</v>
      </c>
      <c r="G3012" s="1">
        <v>5.002E11</v>
      </c>
    </row>
    <row r="3013">
      <c r="A3013" s="1" t="s">
        <v>2766</v>
      </c>
      <c r="B3013" s="1" t="str">
        <f>IFERROR(__xludf.DUMMYFUNCTION("GOOGLETRANSLATE(A2939, ""zh-CN"", ""en"")"),"Shaanxi Province")</f>
        <v>Shaanxi Province</v>
      </c>
      <c r="C3013" s="1" t="s">
        <v>24</v>
      </c>
      <c r="D3013" s="1" t="str">
        <f>IFERROR(__xludf.DUMMYFUNCTION("GOOGLETRANSLATE(C3013, ""zh-CN"", ""en"")"),"City area")</f>
        <v>City area</v>
      </c>
      <c r="E3013" s="1" t="s">
        <v>2768</v>
      </c>
      <c r="F3013" s="1" t="str">
        <f>IFERROR(__xludf.DUMMYFUNCTION("GOOGLETRANSLATE(E3013, ""zh-CN"", ""en"")"),"Wanzhou District")</f>
        <v>Wanzhou District</v>
      </c>
      <c r="G3013" s="1">
        <v>5.00101E11</v>
      </c>
    </row>
    <row r="3014">
      <c r="A3014" s="1" t="s">
        <v>2766</v>
      </c>
      <c r="B3014" s="1" t="str">
        <f>IFERROR(__xludf.DUMMYFUNCTION("GOOGLETRANSLATE(A2940, ""zh-CN"", ""en"")"),"Shaanxi Province")</f>
        <v>Shaanxi Province</v>
      </c>
      <c r="C3014" s="1" t="s">
        <v>24</v>
      </c>
      <c r="D3014" s="1" t="str">
        <f>IFERROR(__xludf.DUMMYFUNCTION("GOOGLETRANSLATE(C3014, ""zh-CN"", ""en"")"),"City area")</f>
        <v>City area</v>
      </c>
      <c r="E3014" s="1" t="s">
        <v>2769</v>
      </c>
      <c r="F3014" s="1" t="str">
        <f>IFERROR(__xludf.DUMMYFUNCTION("GOOGLETRANSLATE(E3014, ""zh-CN"", ""en"")"),"Fuling District")</f>
        <v>Fuling District</v>
      </c>
      <c r="G3014" s="1">
        <v>5.00102E11</v>
      </c>
    </row>
    <row r="3015">
      <c r="A3015" s="1" t="s">
        <v>2766</v>
      </c>
      <c r="B3015" s="1" t="str">
        <f>IFERROR(__xludf.DUMMYFUNCTION("GOOGLETRANSLATE(A2941, ""zh-CN"", ""en"")"),"Shaanxi Province")</f>
        <v>Shaanxi Province</v>
      </c>
      <c r="C3015" s="1" t="s">
        <v>24</v>
      </c>
      <c r="D3015" s="1" t="str">
        <f>IFERROR(__xludf.DUMMYFUNCTION("GOOGLETRANSLATE(C3015, ""zh-CN"", ""en"")"),"City area")</f>
        <v>City area</v>
      </c>
      <c r="E3015" s="1" t="s">
        <v>2770</v>
      </c>
      <c r="F3015" s="1" t="str">
        <f>IFERROR(__xludf.DUMMYFUNCTION("GOOGLETRANSLATE(E3015, ""zh-CN"", ""en"")"),"Yuzhong District")</f>
        <v>Yuzhong District</v>
      </c>
      <c r="G3015" s="1">
        <v>5.00103E11</v>
      </c>
    </row>
    <row r="3016">
      <c r="A3016" s="1" t="s">
        <v>2766</v>
      </c>
      <c r="B3016" s="1" t="str">
        <f>IFERROR(__xludf.DUMMYFUNCTION("GOOGLETRANSLATE(A2942, ""zh-CN"", ""en"")"),"Shaanxi Province")</f>
        <v>Shaanxi Province</v>
      </c>
      <c r="C3016" s="1" t="s">
        <v>24</v>
      </c>
      <c r="D3016" s="1" t="str">
        <f>IFERROR(__xludf.DUMMYFUNCTION("GOOGLETRANSLATE(C3016, ""zh-CN"", ""en"")"),"City area")</f>
        <v>City area</v>
      </c>
      <c r="E3016" s="1" t="s">
        <v>2771</v>
      </c>
      <c r="F3016" s="1" t="str">
        <f>IFERROR(__xludf.DUMMYFUNCTION("GOOGLETRANSLATE(E3016, ""zh-CN"", ""en"")"),"Dadukou District")</f>
        <v>Dadukou District</v>
      </c>
      <c r="G3016" s="1">
        <v>5.00104E11</v>
      </c>
    </row>
    <row r="3017">
      <c r="A3017" s="1" t="s">
        <v>2766</v>
      </c>
      <c r="B3017" s="1" t="str">
        <f>IFERROR(__xludf.DUMMYFUNCTION("GOOGLETRANSLATE(A2943, ""zh-CN"", ""en"")"),"Shaanxi Province")</f>
        <v>Shaanxi Province</v>
      </c>
      <c r="C3017" s="1" t="s">
        <v>24</v>
      </c>
      <c r="D3017" s="1" t="str">
        <f>IFERROR(__xludf.DUMMYFUNCTION("GOOGLETRANSLATE(C3017, ""zh-CN"", ""en"")"),"City area")</f>
        <v>City area</v>
      </c>
      <c r="E3017" s="1" t="s">
        <v>513</v>
      </c>
      <c r="F3017" s="1" t="str">
        <f>IFERROR(__xludf.DUMMYFUNCTION("GOOGLETRANSLATE(E3017, ""zh-CN"", ""en"")"),"Jiangbei District")</f>
        <v>Jiangbei District</v>
      </c>
      <c r="G3017" s="1">
        <v>5.00105E11</v>
      </c>
    </row>
    <row r="3018">
      <c r="A3018" s="1" t="s">
        <v>2766</v>
      </c>
      <c r="B3018" s="1" t="str">
        <f>IFERROR(__xludf.DUMMYFUNCTION("GOOGLETRANSLATE(A2944, ""zh-CN"", ""en"")"),"Shaanxi Province")</f>
        <v>Shaanxi Province</v>
      </c>
      <c r="C3018" s="1" t="s">
        <v>24</v>
      </c>
      <c r="D3018" s="1" t="str">
        <f>IFERROR(__xludf.DUMMYFUNCTION("GOOGLETRANSLATE(C3018, ""zh-CN"", ""en"")"),"City area")</f>
        <v>City area</v>
      </c>
      <c r="E3018" s="1" t="s">
        <v>2772</v>
      </c>
      <c r="F3018" s="1" t="str">
        <f>IFERROR(__xludf.DUMMYFUNCTION("GOOGLETRANSLATE(E3018, ""zh-CN"", ""en"")"),"Shapingba District")</f>
        <v>Shapingba District</v>
      </c>
      <c r="G3018" s="1">
        <v>5.00106E11</v>
      </c>
    </row>
    <row r="3019">
      <c r="A3019" s="1" t="s">
        <v>2766</v>
      </c>
      <c r="B3019" s="1" t="str">
        <f>IFERROR(__xludf.DUMMYFUNCTION("GOOGLETRANSLATE(A2945, ""zh-CN"", ""en"")"),"Shaanxi Province")</f>
        <v>Shaanxi Province</v>
      </c>
      <c r="C3019" s="1" t="s">
        <v>24</v>
      </c>
      <c r="D3019" s="1" t="str">
        <f>IFERROR(__xludf.DUMMYFUNCTION("GOOGLETRANSLATE(C3019, ""zh-CN"", ""en"")"),"City area")</f>
        <v>City area</v>
      </c>
      <c r="E3019" s="1" t="s">
        <v>2773</v>
      </c>
      <c r="F3019" s="1" t="str">
        <f>IFERROR(__xludf.DUMMYFUNCTION("GOOGLETRANSLATE(E3019, ""zh-CN"", ""en"")"),"Jiulongpo District")</f>
        <v>Jiulongpo District</v>
      </c>
      <c r="G3019" s="1">
        <v>5.00107E11</v>
      </c>
    </row>
    <row r="3020">
      <c r="A3020" s="1" t="s">
        <v>2766</v>
      </c>
      <c r="B3020" s="1" t="str">
        <f>IFERROR(__xludf.DUMMYFUNCTION("GOOGLETRANSLATE(A2946, ""zh-CN"", ""en"")"),"Shaanxi Province")</f>
        <v>Shaanxi Province</v>
      </c>
      <c r="C3020" s="1" t="s">
        <v>24</v>
      </c>
      <c r="D3020" s="1" t="str">
        <f>IFERROR(__xludf.DUMMYFUNCTION("GOOGLETRANSLATE(C3020, ""zh-CN"", ""en"")"),"City area")</f>
        <v>City area</v>
      </c>
      <c r="E3020" s="1" t="s">
        <v>2774</v>
      </c>
      <c r="F3020" s="1" t="str">
        <f>IFERROR(__xludf.DUMMYFUNCTION("GOOGLETRANSLATE(E3020, ""zh-CN"", ""en"")"),"South Bank area")</f>
        <v>South Bank area</v>
      </c>
      <c r="G3020" s="1">
        <v>5.00108E11</v>
      </c>
    </row>
    <row r="3021">
      <c r="A3021" s="1" t="s">
        <v>2766</v>
      </c>
      <c r="B3021" s="1" t="str">
        <f>IFERROR(__xludf.DUMMYFUNCTION("GOOGLETRANSLATE(A2947, ""zh-CN"", ""en"")"),"Shaanxi Province")</f>
        <v>Shaanxi Province</v>
      </c>
      <c r="C3021" s="1" t="s">
        <v>24</v>
      </c>
      <c r="D3021" s="1" t="str">
        <f>IFERROR(__xludf.DUMMYFUNCTION("GOOGLETRANSLATE(C3021, ""zh-CN"", ""en"")"),"City area")</f>
        <v>City area</v>
      </c>
      <c r="E3021" s="1" t="s">
        <v>2775</v>
      </c>
      <c r="F3021" s="1" t="str">
        <f>IFERROR(__xludf.DUMMYFUNCTION("GOOGLETRANSLATE(E3021, ""zh-CN"", ""en"")"),"Beibei District")</f>
        <v>Beibei District</v>
      </c>
      <c r="G3021" s="1">
        <v>5.00109E11</v>
      </c>
    </row>
    <row r="3022">
      <c r="A3022" s="1" t="s">
        <v>2766</v>
      </c>
      <c r="B3022" s="1" t="str">
        <f>IFERROR(__xludf.DUMMYFUNCTION("GOOGLETRANSLATE(A2948, ""zh-CN"", ""en"")"),"Shaanxi Province")</f>
        <v>Shaanxi Province</v>
      </c>
      <c r="C3022" s="1" t="s">
        <v>24</v>
      </c>
      <c r="D3022" s="1" t="str">
        <f>IFERROR(__xludf.DUMMYFUNCTION("GOOGLETRANSLATE(C3022, ""zh-CN"", ""en"")"),"City area")</f>
        <v>City area</v>
      </c>
      <c r="E3022" s="1" t="s">
        <v>2776</v>
      </c>
      <c r="F3022" s="1" t="str">
        <f>IFERROR(__xludf.DUMMYFUNCTION("GOOGLETRANSLATE(E3022, ""zh-CN"", ""en"")"),"Yijiang District")</f>
        <v>Yijiang District</v>
      </c>
      <c r="G3022" s="1">
        <v>5.0011E11</v>
      </c>
    </row>
    <row r="3023">
      <c r="A3023" s="1" t="s">
        <v>2766</v>
      </c>
      <c r="B3023" s="1" t="str">
        <f>IFERROR(__xludf.DUMMYFUNCTION("GOOGLETRANSLATE(A2949, ""zh-CN"", ""en"")"),"Shaanxi Province")</f>
        <v>Shaanxi Province</v>
      </c>
      <c r="C3023" s="1" t="s">
        <v>24</v>
      </c>
      <c r="D3023" s="1" t="str">
        <f>IFERROR(__xludf.DUMMYFUNCTION("GOOGLETRANSLATE(C3023, ""zh-CN"", ""en"")"),"City area")</f>
        <v>City area</v>
      </c>
      <c r="E3023" s="1" t="s">
        <v>2777</v>
      </c>
      <c r="F3023" s="1" t="str">
        <f>IFERROR(__xludf.DUMMYFUNCTION("GOOGLETRANSLATE(E3023, ""zh-CN"", ""en"")"),"Great Football")</f>
        <v>Great Football</v>
      </c>
      <c r="G3023" s="1">
        <v>5.00111E11</v>
      </c>
    </row>
    <row r="3024">
      <c r="A3024" s="1" t="s">
        <v>2766</v>
      </c>
      <c r="B3024" s="1" t="str">
        <f>IFERROR(__xludf.DUMMYFUNCTION("GOOGLETRANSLATE(A2950, ""zh-CN"", ""en"")"),"Shaanxi Province")</f>
        <v>Shaanxi Province</v>
      </c>
      <c r="C3024" s="1" t="s">
        <v>24</v>
      </c>
      <c r="D3024" s="1" t="str">
        <f>IFERROR(__xludf.DUMMYFUNCTION("GOOGLETRANSLATE(C3024, ""zh-CN"", ""en"")"),"City area")</f>
        <v>City area</v>
      </c>
      <c r="E3024" s="1" t="s">
        <v>2778</v>
      </c>
      <c r="F3024" s="1" t="str">
        <f>IFERROR(__xludf.DUMMYFUNCTION("GOOGLETRANSLATE(E3024, ""zh-CN"", ""en"")"),"Yu Bei District")</f>
        <v>Yu Bei District</v>
      </c>
      <c r="G3024" s="1">
        <v>5.00112E11</v>
      </c>
    </row>
    <row r="3025">
      <c r="A3025" s="1" t="s">
        <v>2766</v>
      </c>
      <c r="B3025" s="1" t="str">
        <f>IFERROR(__xludf.DUMMYFUNCTION("GOOGLETRANSLATE(A2951, ""zh-CN"", ""en"")"),"Shaanxi Province")</f>
        <v>Shaanxi Province</v>
      </c>
      <c r="C3025" s="1" t="s">
        <v>24</v>
      </c>
      <c r="D3025" s="1" t="str">
        <f>IFERROR(__xludf.DUMMYFUNCTION("GOOGLETRANSLATE(C3025, ""zh-CN"", ""en"")"),"City area")</f>
        <v>City area</v>
      </c>
      <c r="E3025" s="1" t="s">
        <v>2779</v>
      </c>
      <c r="F3025" s="1" t="str">
        <f>IFERROR(__xludf.DUMMYFUNCTION("GOOGLETRANSLATE(E3025, ""zh-CN"", ""en"")"),"Banan")</f>
        <v>Banan</v>
      </c>
      <c r="G3025" s="1">
        <v>5.00113E11</v>
      </c>
    </row>
    <row r="3026">
      <c r="A3026" s="1" t="s">
        <v>2766</v>
      </c>
      <c r="B3026" s="1" t="str">
        <f>IFERROR(__xludf.DUMMYFUNCTION("GOOGLETRANSLATE(A2952, ""zh-CN"", ""en"")"),"Shaanxi Province")</f>
        <v>Shaanxi Province</v>
      </c>
      <c r="C3026" s="1" t="s">
        <v>24</v>
      </c>
      <c r="D3026" s="1" t="str">
        <f>IFERROR(__xludf.DUMMYFUNCTION("GOOGLETRANSLATE(C3026, ""zh-CN"", ""en"")"),"City area")</f>
        <v>City area</v>
      </c>
      <c r="E3026" s="1" t="s">
        <v>2780</v>
      </c>
      <c r="F3026" s="1" t="str">
        <f>IFERROR(__xludf.DUMMYFUNCTION("GOOGLETRANSLATE(E3026, ""zh-CN"", ""en"")"),"Qianjiang District")</f>
        <v>Qianjiang District</v>
      </c>
      <c r="G3026" s="1">
        <v>5.00114E11</v>
      </c>
    </row>
    <row r="3027">
      <c r="A3027" s="1" t="s">
        <v>2766</v>
      </c>
      <c r="B3027" s="1" t="str">
        <f>IFERROR(__xludf.DUMMYFUNCTION("GOOGLETRANSLATE(A2953, ""zh-CN"", ""en"")"),"Shaanxi Province")</f>
        <v>Shaanxi Province</v>
      </c>
      <c r="C3027" s="1" t="s">
        <v>24</v>
      </c>
      <c r="D3027" s="1" t="str">
        <f>IFERROR(__xludf.DUMMYFUNCTION("GOOGLETRANSLATE(C3027, ""zh-CN"", ""en"")"),"City area")</f>
        <v>City area</v>
      </c>
      <c r="E3027" s="1" t="s">
        <v>2781</v>
      </c>
      <c r="F3027" s="1" t="str">
        <f>IFERROR(__xludf.DUMMYFUNCTION("GOOGLETRANSLATE(E3027, ""zh-CN"", ""en"")"),"Longevity")</f>
        <v>Longevity</v>
      </c>
      <c r="G3027" s="1">
        <v>5.00115E11</v>
      </c>
    </row>
    <row r="3028">
      <c r="A3028" s="1" t="s">
        <v>2766</v>
      </c>
      <c r="B3028" s="1" t="str">
        <f>IFERROR(__xludf.DUMMYFUNCTION("GOOGLETRANSLATE(A2954, ""zh-CN"", ""en"")"),"Shaanxi Province")</f>
        <v>Shaanxi Province</v>
      </c>
      <c r="C3028" s="1" t="s">
        <v>24</v>
      </c>
      <c r="D3028" s="1" t="str">
        <f>IFERROR(__xludf.DUMMYFUNCTION("GOOGLETRANSLATE(C3028, ""zh-CN"", ""en"")"),"City area")</f>
        <v>City area</v>
      </c>
      <c r="E3028" s="1" t="s">
        <v>2782</v>
      </c>
      <c r="F3028" s="1" t="str">
        <f>IFERROR(__xludf.DUMMYFUNCTION("GOOGLETRANSLATE(E3028, ""zh-CN"", ""en"")"),"Jiangjin District")</f>
        <v>Jiangjin District</v>
      </c>
      <c r="G3028" s="1">
        <v>5.00116E11</v>
      </c>
    </row>
    <row r="3029">
      <c r="A3029" s="1" t="s">
        <v>2766</v>
      </c>
      <c r="B3029" s="1" t="str">
        <f>IFERROR(__xludf.DUMMYFUNCTION("GOOGLETRANSLATE(A2955, ""zh-CN"", ""en"")"),"Shaanxi Province")</f>
        <v>Shaanxi Province</v>
      </c>
      <c r="C3029" s="1" t="s">
        <v>24</v>
      </c>
      <c r="D3029" s="1" t="str">
        <f>IFERROR(__xludf.DUMMYFUNCTION("GOOGLETRANSLATE(C3029, ""zh-CN"", ""en"")"),"City area")</f>
        <v>City area</v>
      </c>
      <c r="E3029" s="1" t="s">
        <v>2783</v>
      </c>
      <c r="F3029" s="1" t="str">
        <f>IFERROR(__xludf.DUMMYFUNCTION("GOOGLETRANSLATE(E3029, ""zh-CN"", ""en"")"),"Hechuan District")</f>
        <v>Hechuan District</v>
      </c>
      <c r="G3029" s="1">
        <v>5.00117E11</v>
      </c>
    </row>
    <row r="3030">
      <c r="A3030" s="1" t="s">
        <v>2766</v>
      </c>
      <c r="B3030" s="1" t="str">
        <f>IFERROR(__xludf.DUMMYFUNCTION("GOOGLETRANSLATE(A2956, ""zh-CN"", ""en"")"),"Shaanxi Province")</f>
        <v>Shaanxi Province</v>
      </c>
      <c r="C3030" s="1" t="s">
        <v>24</v>
      </c>
      <c r="D3030" s="1" t="str">
        <f>IFERROR(__xludf.DUMMYFUNCTION("GOOGLETRANSLATE(C3030, ""zh-CN"", ""en"")"),"City area")</f>
        <v>City area</v>
      </c>
      <c r="E3030" s="1" t="s">
        <v>2784</v>
      </c>
      <c r="F3030" s="1" t="str">
        <f>IFERROR(__xludf.DUMMYFUNCTION("GOOGLETRANSLATE(E3030, ""zh-CN"", ""en"")"),"Yongchuan District")</f>
        <v>Yongchuan District</v>
      </c>
      <c r="G3030" s="1">
        <v>5.00118E11</v>
      </c>
    </row>
    <row r="3031">
      <c r="A3031" s="1" t="s">
        <v>2766</v>
      </c>
      <c r="B3031" s="1" t="str">
        <f>IFERROR(__xludf.DUMMYFUNCTION("GOOGLETRANSLATE(A2957, ""zh-CN"", ""en"")"),"Shaanxi Province")</f>
        <v>Shaanxi Province</v>
      </c>
      <c r="C3031" s="1" t="s">
        <v>24</v>
      </c>
      <c r="D3031" s="1" t="str">
        <f>IFERROR(__xludf.DUMMYFUNCTION("GOOGLETRANSLATE(C3031, ""zh-CN"", ""en"")"),"City area")</f>
        <v>City area</v>
      </c>
      <c r="E3031" s="1" t="s">
        <v>2785</v>
      </c>
      <c r="F3031" s="1" t="str">
        <f>IFERROR(__xludf.DUMMYFUNCTION("GOOGLETRANSLATE(E3031, ""zh-CN"", ""en"")"),"Nanchuan District")</f>
        <v>Nanchuan District</v>
      </c>
      <c r="G3031" s="1">
        <v>5.00119E11</v>
      </c>
    </row>
    <row r="3032">
      <c r="A3032" s="1" t="s">
        <v>2766</v>
      </c>
      <c r="B3032" s="1" t="str">
        <f>IFERROR(__xludf.DUMMYFUNCTION("GOOGLETRANSLATE(A2958, ""zh-CN"", ""en"")"),"Shaanxi Province")</f>
        <v>Shaanxi Province</v>
      </c>
      <c r="C3032" s="1" t="s">
        <v>24</v>
      </c>
      <c r="D3032" s="1" t="str">
        <f>IFERROR(__xludf.DUMMYFUNCTION("GOOGLETRANSLATE(C3032, ""zh-CN"", ""en"")"),"City area")</f>
        <v>City area</v>
      </c>
      <c r="E3032" s="1" t="s">
        <v>2786</v>
      </c>
      <c r="F3032" s="1" t="str">
        <f>IFERROR(__xludf.DUMMYFUNCTION("GOOGLETRANSLATE(E3032, ""zh-CN"", ""en"")"),"Laishan District")</f>
        <v>Laishan District</v>
      </c>
      <c r="G3032" s="1">
        <v>5.0012E11</v>
      </c>
    </row>
    <row r="3033">
      <c r="A3033" s="1" t="s">
        <v>2766</v>
      </c>
      <c r="B3033" s="1" t="str">
        <f>IFERROR(__xludf.DUMMYFUNCTION("GOOGLETRANSLATE(A2959, ""zh-CN"", ""en"")"),"Shaanxi Province")</f>
        <v>Shaanxi Province</v>
      </c>
      <c r="C3033" s="1" t="s">
        <v>24</v>
      </c>
      <c r="D3033" s="1" t="str">
        <f>IFERROR(__xludf.DUMMYFUNCTION("GOOGLETRANSLATE(C3033, ""zh-CN"", ""en"")"),"City area")</f>
        <v>City area</v>
      </c>
      <c r="E3033" s="1" t="s">
        <v>2787</v>
      </c>
      <c r="F3033" s="1" t="str">
        <f>IFERROR(__xludf.DUMMYFUNCTION("GOOGLETRANSLATE(E3033, ""zh-CN"", ""en"")"),"Tongliang District")</f>
        <v>Tongliang District</v>
      </c>
      <c r="G3033" s="1">
        <v>5.00151E11</v>
      </c>
    </row>
    <row r="3034">
      <c r="A3034" s="1" t="s">
        <v>2766</v>
      </c>
      <c r="B3034" s="1" t="str">
        <f>IFERROR(__xludf.DUMMYFUNCTION("GOOGLETRANSLATE(A2960, ""zh-CN"", ""en"")"),"Shaanxi Province")</f>
        <v>Shaanxi Province</v>
      </c>
      <c r="C3034" s="1" t="s">
        <v>24</v>
      </c>
      <c r="D3034" s="1" t="str">
        <f>IFERROR(__xludf.DUMMYFUNCTION("GOOGLETRANSLATE(C3034, ""zh-CN"", ""en"")"),"City area")</f>
        <v>City area</v>
      </c>
      <c r="E3034" s="1" t="s">
        <v>2788</v>
      </c>
      <c r="F3034" s="1" t="str">
        <f>IFERROR(__xludf.DUMMYFUNCTION("GOOGLETRANSLATE(E3034, ""zh-CN"", ""en"")"),"Tongnan District")</f>
        <v>Tongnan District</v>
      </c>
      <c r="G3034" s="1">
        <v>5.00152E11</v>
      </c>
    </row>
    <row r="3035">
      <c r="A3035" s="1" t="s">
        <v>2766</v>
      </c>
      <c r="B3035" s="1" t="str">
        <f>IFERROR(__xludf.DUMMYFUNCTION("GOOGLETRANSLATE(A2961, ""zh-CN"", ""en"")"),"Shaanxi Province")</f>
        <v>Shaanxi Province</v>
      </c>
      <c r="C3035" s="1" t="s">
        <v>24</v>
      </c>
      <c r="D3035" s="1" t="str">
        <f>IFERROR(__xludf.DUMMYFUNCTION("GOOGLETRANSLATE(C3035, ""zh-CN"", ""en"")"),"City area")</f>
        <v>City area</v>
      </c>
      <c r="E3035" s="1" t="s">
        <v>2789</v>
      </c>
      <c r="F3035" s="1" t="str">
        <f>IFERROR(__xludf.DUMMYFUNCTION("GOOGLETRANSLATE(E3035, ""zh-CN"", ""en"")"),"Rongchang District")</f>
        <v>Rongchang District</v>
      </c>
      <c r="G3035" s="1">
        <v>5.00153E11</v>
      </c>
    </row>
    <row r="3036">
      <c r="A3036" s="1" t="s">
        <v>2766</v>
      </c>
      <c r="B3036" s="1" t="str">
        <f>IFERROR(__xludf.DUMMYFUNCTION("GOOGLETRANSLATE(A2962, ""zh-CN"", ""en"")"),"Shaanxi Province")</f>
        <v>Shaanxi Province</v>
      </c>
      <c r="C3036" s="1" t="s">
        <v>24</v>
      </c>
      <c r="D3036" s="1" t="str">
        <f>IFERROR(__xludf.DUMMYFUNCTION("GOOGLETRANSLATE(C3036, ""zh-CN"", ""en"")"),"City area")</f>
        <v>City area</v>
      </c>
      <c r="E3036" s="1" t="s">
        <v>2790</v>
      </c>
      <c r="F3036" s="1" t="str">
        <f>IFERROR(__xludf.DUMMYFUNCTION("GOOGLETRANSLATE(E3036, ""zh-CN"", ""en"")"),"Kaizhou District")</f>
        <v>Kaizhou District</v>
      </c>
      <c r="G3036" s="1">
        <v>5.00154E11</v>
      </c>
    </row>
    <row r="3037">
      <c r="A3037" s="1" t="s">
        <v>2766</v>
      </c>
      <c r="B3037" s="1" t="str">
        <f>IFERROR(__xludf.DUMMYFUNCTION("GOOGLETRANSLATE(A2963, ""zh-CN"", ""en"")"),"Shaanxi Province")</f>
        <v>Shaanxi Province</v>
      </c>
      <c r="C3037" s="1" t="s">
        <v>24</v>
      </c>
      <c r="D3037" s="1" t="str">
        <f>IFERROR(__xludf.DUMMYFUNCTION("GOOGLETRANSLATE(C3037, ""zh-CN"", ""en"")"),"City area")</f>
        <v>City area</v>
      </c>
      <c r="E3037" s="1" t="s">
        <v>2791</v>
      </c>
      <c r="F3037" s="1" t="str">
        <f>IFERROR(__xludf.DUMMYFUNCTION("GOOGLETRANSLATE(E3037, ""zh-CN"", ""en"")"),"Liangping District")</f>
        <v>Liangping District</v>
      </c>
      <c r="G3037" s="1">
        <v>5.00155E11</v>
      </c>
    </row>
    <row r="3038">
      <c r="A3038" s="1" t="s">
        <v>2766</v>
      </c>
      <c r="B3038" s="1" t="str">
        <f>IFERROR(__xludf.DUMMYFUNCTION("GOOGLETRANSLATE(A2964, ""zh-CN"", ""en"")"),"Shaanxi Province")</f>
        <v>Shaanxi Province</v>
      </c>
      <c r="C3038" s="1" t="s">
        <v>24</v>
      </c>
      <c r="D3038" s="1" t="str">
        <f>IFERROR(__xludf.DUMMYFUNCTION("GOOGLETRANSLATE(C3038, ""zh-CN"", ""en"")"),"City area")</f>
        <v>City area</v>
      </c>
      <c r="E3038" s="1" t="s">
        <v>2792</v>
      </c>
      <c r="F3038" s="1" t="str">
        <f>IFERROR(__xludf.DUMMYFUNCTION("GOOGLETRANSLATE(E3038, ""zh-CN"", ""en"")"),"Wulong District")</f>
        <v>Wulong District</v>
      </c>
      <c r="G3038" s="1">
        <v>5.00156E11</v>
      </c>
    </row>
    <row r="3039">
      <c r="A3039" s="1" t="s">
        <v>2766</v>
      </c>
      <c r="B3039" s="1" t="str">
        <f>IFERROR(__xludf.DUMMYFUNCTION("GOOGLETRANSLATE(A2965, ""zh-CN"", ""en"")"),"Shaanxi Province")</f>
        <v>Shaanxi Province</v>
      </c>
      <c r="C3039" s="1" t="s">
        <v>2767</v>
      </c>
      <c r="D3039" s="1" t="str">
        <f>IFERROR(__xludf.DUMMYFUNCTION("GOOGLETRANSLATE(C3039, ""zh-CN"", ""en"")"),"county")</f>
        <v>county</v>
      </c>
      <c r="E3039" s="1" t="s">
        <v>2793</v>
      </c>
      <c r="F3039" s="1" t="str">
        <f>IFERROR(__xludf.DUMMYFUNCTION("GOOGLETRANSLATE(E3039, ""zh-CN"", ""en"")"),"Chengkou County")</f>
        <v>Chengkou County</v>
      </c>
      <c r="G3039" s="1">
        <v>5.00229E11</v>
      </c>
    </row>
    <row r="3040">
      <c r="A3040" s="1" t="s">
        <v>2766</v>
      </c>
      <c r="B3040" s="1" t="str">
        <f>IFERROR(__xludf.DUMMYFUNCTION("GOOGLETRANSLATE(A2966, ""zh-CN"", ""en"")"),"Shaanxi Province")</f>
        <v>Shaanxi Province</v>
      </c>
      <c r="C3040" s="1" t="s">
        <v>2767</v>
      </c>
      <c r="D3040" s="1" t="str">
        <f>IFERROR(__xludf.DUMMYFUNCTION("GOOGLETRANSLATE(C3040, ""zh-CN"", ""en"")"),"county")</f>
        <v>county</v>
      </c>
      <c r="E3040" s="1" t="s">
        <v>2794</v>
      </c>
      <c r="F3040" s="1" t="str">
        <f>IFERROR(__xludf.DUMMYFUNCTION("GOOGLETRANSLATE(E3040, ""zh-CN"", ""en"")"),"Fengdu County")</f>
        <v>Fengdu County</v>
      </c>
      <c r="G3040" s="1">
        <v>5.0023E11</v>
      </c>
    </row>
    <row r="3041">
      <c r="A3041" s="1" t="s">
        <v>2766</v>
      </c>
      <c r="B3041" s="1" t="str">
        <f>IFERROR(__xludf.DUMMYFUNCTION("GOOGLETRANSLATE(A2967, ""zh-CN"", ""en"")"),"Shaanxi Province")</f>
        <v>Shaanxi Province</v>
      </c>
      <c r="C3041" s="1" t="s">
        <v>2767</v>
      </c>
      <c r="D3041" s="1" t="str">
        <f>IFERROR(__xludf.DUMMYFUNCTION("GOOGLETRANSLATE(C3041, ""zh-CN"", ""en"")"),"county")</f>
        <v>county</v>
      </c>
      <c r="E3041" s="1" t="s">
        <v>2795</v>
      </c>
      <c r="F3041" s="1" t="str">
        <f>IFERROR(__xludf.DUMMYFUNCTION("GOOGLETRANSLATE(E3041, ""zh-CN"", ""en"")"),"Pental")</f>
        <v>Pental</v>
      </c>
      <c r="G3041" s="1">
        <v>5.00231E11</v>
      </c>
    </row>
    <row r="3042">
      <c r="A3042" s="1" t="s">
        <v>2766</v>
      </c>
      <c r="B3042" s="1" t="str">
        <f>IFERROR(__xludf.DUMMYFUNCTION("GOOGLETRANSLATE(A2968, ""zh-CN"", ""en"")"),"Shaanxi Province")</f>
        <v>Shaanxi Province</v>
      </c>
      <c r="C3042" s="1" t="s">
        <v>2767</v>
      </c>
      <c r="D3042" s="1" t="str">
        <f>IFERROR(__xludf.DUMMYFUNCTION("GOOGLETRANSLATE(C3042, ""zh-CN"", ""en"")"),"county")</f>
        <v>county</v>
      </c>
      <c r="E3042" s="1" t="s">
        <v>2796</v>
      </c>
      <c r="F3042" s="1" t="str">
        <f>IFERROR(__xludf.DUMMYFUNCTION("GOOGLETRANSLATE(E3042, ""zh-CN"", ""en"")"),"Zhongxian County")</f>
        <v>Zhongxian County</v>
      </c>
      <c r="G3042" s="1">
        <v>5.00233E11</v>
      </c>
    </row>
    <row r="3043">
      <c r="A3043" s="1" t="s">
        <v>2766</v>
      </c>
      <c r="B3043" s="1" t="str">
        <f>IFERROR(__xludf.DUMMYFUNCTION("GOOGLETRANSLATE(A2969, ""zh-CN"", ""en"")"),"Shaanxi Province")</f>
        <v>Shaanxi Province</v>
      </c>
      <c r="C3043" s="1" t="s">
        <v>2767</v>
      </c>
      <c r="D3043" s="1" t="str">
        <f>IFERROR(__xludf.DUMMYFUNCTION("GOOGLETRANSLATE(C3043, ""zh-CN"", ""en"")"),"county")</f>
        <v>county</v>
      </c>
      <c r="E3043" s="1" t="s">
        <v>2797</v>
      </c>
      <c r="F3043" s="1" t="str">
        <f>IFERROR(__xludf.DUMMYFUNCTION("GOOGLETRANSLATE(E3043, ""zh-CN"", ""en"")"),"Yunyang County")</f>
        <v>Yunyang County</v>
      </c>
      <c r="G3043" s="1">
        <v>5.00235E11</v>
      </c>
    </row>
    <row r="3044">
      <c r="A3044" s="1" t="s">
        <v>2766</v>
      </c>
      <c r="B3044" s="1" t="str">
        <f>IFERROR(__xludf.DUMMYFUNCTION("GOOGLETRANSLATE(A2970, ""zh-CN"", ""en"")"),"Shaanxi Province")</f>
        <v>Shaanxi Province</v>
      </c>
      <c r="C3044" s="1" t="s">
        <v>2767</v>
      </c>
      <c r="D3044" s="1" t="str">
        <f>IFERROR(__xludf.DUMMYFUNCTION("GOOGLETRANSLATE(C3044, ""zh-CN"", ""en"")"),"county")</f>
        <v>county</v>
      </c>
      <c r="E3044" s="1" t="s">
        <v>2798</v>
      </c>
      <c r="F3044" s="1" t="str">
        <f>IFERROR(__xludf.DUMMYFUNCTION("GOOGLETRANSLATE(E3044, ""zh-CN"", ""en"")"),"Fengjie County")</f>
        <v>Fengjie County</v>
      </c>
      <c r="G3044" s="1">
        <v>5.00236E11</v>
      </c>
    </row>
    <row r="3045">
      <c r="A3045" s="1" t="s">
        <v>2766</v>
      </c>
      <c r="B3045" s="1" t="str">
        <f>IFERROR(__xludf.DUMMYFUNCTION("GOOGLETRANSLATE(A2971, ""zh-CN"", ""en"")"),"Shaanxi Province")</f>
        <v>Shaanxi Province</v>
      </c>
      <c r="C3045" s="1" t="s">
        <v>2767</v>
      </c>
      <c r="D3045" s="1" t="str">
        <f>IFERROR(__xludf.DUMMYFUNCTION("GOOGLETRANSLATE(C3045, ""zh-CN"", ""en"")"),"county")</f>
        <v>county</v>
      </c>
      <c r="E3045" s="1" t="s">
        <v>2799</v>
      </c>
      <c r="F3045" s="1" t="str">
        <f>IFERROR(__xludf.DUMMYFUNCTION("GOOGLETRANSLATE(E3045, ""zh-CN"", ""en"")"),"Wushan County")</f>
        <v>Wushan County</v>
      </c>
      <c r="G3045" s="1">
        <v>5.00237E11</v>
      </c>
    </row>
    <row r="3046">
      <c r="A3046" s="1" t="s">
        <v>2766</v>
      </c>
      <c r="B3046" s="1" t="str">
        <f>IFERROR(__xludf.DUMMYFUNCTION("GOOGLETRANSLATE(A2972, ""zh-CN"", ""en"")"),"Shaanxi Province")</f>
        <v>Shaanxi Province</v>
      </c>
      <c r="C3046" s="1" t="s">
        <v>2767</v>
      </c>
      <c r="D3046" s="1" t="str">
        <f>IFERROR(__xludf.DUMMYFUNCTION("GOOGLETRANSLATE(C3046, ""zh-CN"", ""en"")"),"county")</f>
        <v>county</v>
      </c>
      <c r="E3046" s="1" t="s">
        <v>2800</v>
      </c>
      <c r="F3046" s="1" t="str">
        <f>IFERROR(__xludf.DUMMYFUNCTION("GOOGLETRANSLATE(E3046, ""zh-CN"", ""en"")"),"Wuxi County")</f>
        <v>Wuxi County</v>
      </c>
      <c r="G3046" s="1">
        <v>5.00238E11</v>
      </c>
    </row>
    <row r="3047">
      <c r="A3047" s="1" t="s">
        <v>2766</v>
      </c>
      <c r="B3047" s="1" t="str">
        <f>IFERROR(__xludf.DUMMYFUNCTION("GOOGLETRANSLATE(A2973, ""zh-CN"", ""en"")"),"Shaanxi Province")</f>
        <v>Shaanxi Province</v>
      </c>
      <c r="C3047" s="1" t="s">
        <v>2767</v>
      </c>
      <c r="D3047" s="1" t="str">
        <f>IFERROR(__xludf.DUMMYFUNCTION("GOOGLETRANSLATE(C3047, ""zh-CN"", ""en"")"),"county")</f>
        <v>county</v>
      </c>
      <c r="E3047" s="1" t="s">
        <v>2801</v>
      </c>
      <c r="F3047" s="1" t="str">
        <f>IFERROR(__xludf.DUMMYFUNCTION("GOOGLETRANSLATE(E3047, ""zh-CN"", ""en"")"),"Shizhu Tujia Autonomous County")</f>
        <v>Shizhu Tujia Autonomous County</v>
      </c>
      <c r="G3047" s="1">
        <v>5.0024E11</v>
      </c>
    </row>
    <row r="3048">
      <c r="A3048" s="1" t="s">
        <v>2766</v>
      </c>
      <c r="B3048" s="1" t="str">
        <f>IFERROR(__xludf.DUMMYFUNCTION("GOOGLETRANSLATE(A2974, ""zh-CN"", ""en"")"),"Shaanxi Province")</f>
        <v>Shaanxi Province</v>
      </c>
      <c r="C3048" s="1" t="s">
        <v>2767</v>
      </c>
      <c r="D3048" s="1" t="str">
        <f>IFERROR(__xludf.DUMMYFUNCTION("GOOGLETRANSLATE(C3048, ""zh-CN"", ""en"")"),"county")</f>
        <v>county</v>
      </c>
      <c r="E3048" s="1" t="s">
        <v>2802</v>
      </c>
      <c r="F3048" s="1" t="str">
        <f>IFERROR(__xludf.DUMMYFUNCTION("GOOGLETRANSLATE(E3048, ""zh-CN"", ""en"")"),"Xiushan Tujia Miao Autonomous County")</f>
        <v>Xiushan Tujia Miao Autonomous County</v>
      </c>
      <c r="G3048" s="1">
        <v>5.00241E11</v>
      </c>
    </row>
    <row r="3049">
      <c r="A3049" s="1" t="s">
        <v>2766</v>
      </c>
      <c r="B3049" s="1" t="str">
        <f>IFERROR(__xludf.DUMMYFUNCTION("GOOGLETRANSLATE(A2975, ""zh-CN"", ""en"")"),"Shaanxi Province")</f>
        <v>Shaanxi Province</v>
      </c>
      <c r="C3049" s="1" t="s">
        <v>2767</v>
      </c>
      <c r="D3049" s="1" t="str">
        <f>IFERROR(__xludf.DUMMYFUNCTION("GOOGLETRANSLATE(C3049, ""zh-CN"", ""en"")"),"county")</f>
        <v>county</v>
      </c>
      <c r="E3049" s="1" t="s">
        <v>2803</v>
      </c>
      <c r="F3049" s="1" t="str">
        <f>IFERROR(__xludf.DUMMYFUNCTION("GOOGLETRANSLATE(E3049, ""zh-CN"", ""en"")"),"Puyang Tujia Miao Autonomous County")</f>
        <v>Puyang Tujia Miao Autonomous County</v>
      </c>
      <c r="G3049" s="1">
        <v>5.00242E11</v>
      </c>
    </row>
    <row r="3050">
      <c r="A3050" s="1" t="s">
        <v>2766</v>
      </c>
      <c r="B3050" s="1" t="str">
        <f>IFERROR(__xludf.DUMMYFUNCTION("GOOGLETRANSLATE(A2976, ""zh-CN"", ""en"")"),"Shaanxi Province")</f>
        <v>Shaanxi Province</v>
      </c>
      <c r="C3050" s="1" t="s">
        <v>2767</v>
      </c>
      <c r="D3050" s="1" t="str">
        <f>IFERROR(__xludf.DUMMYFUNCTION("GOOGLETRANSLATE(C3050, ""zh-CN"", ""en"")"),"county")</f>
        <v>county</v>
      </c>
      <c r="E3050" s="1" t="s">
        <v>2804</v>
      </c>
      <c r="F3050" s="1" t="str">
        <f>IFERROR(__xludf.DUMMYFUNCTION("GOOGLETRANSLATE(E3050, ""zh-CN"", ""en"")"),"Pengshui Miao Tujia Autonomous County")</f>
        <v>Pengshui Miao Tujia Autonomous County</v>
      </c>
      <c r="G3050" s="1">
        <v>5.00243E11</v>
      </c>
    </row>
    <row r="3051">
      <c r="A3051" s="1" t="s">
        <v>2805</v>
      </c>
      <c r="B3051" s="1" t="str">
        <f>IFERROR(__xludf.DUMMYFUNCTION("GOOGLETRANSLATE(A2977, ""zh-CN"", ""en"")"),"Shaanxi Province")</f>
        <v>Shaanxi Province</v>
      </c>
      <c r="C3051" s="1" t="s">
        <v>8</v>
      </c>
      <c r="D3051" s="1" t="str">
        <f>IFERROR(__xludf.DUMMYFUNCTION("GOOGLETRANSLATE(C3051, ""zh-CN"", ""en"")"),"Na")</f>
        <v>Na</v>
      </c>
      <c r="E3051" s="1" t="s">
        <v>8</v>
      </c>
      <c r="F3051" s="1" t="str">
        <f>IFERROR(__xludf.DUMMYFUNCTION("GOOGLETRANSLATE(E3051, ""zh-CN"", ""en"")"),"Na")</f>
        <v>Na</v>
      </c>
      <c r="G3051" s="1">
        <v>12.0</v>
      </c>
    </row>
    <row r="3052">
      <c r="A3052" s="1" t="s">
        <v>2805</v>
      </c>
      <c r="B3052" s="1" t="str">
        <f>IFERROR(__xludf.DUMMYFUNCTION("GOOGLETRANSLATE(A2978, ""zh-CN"", ""en"")"),"Shaanxi Province")</f>
        <v>Shaanxi Province</v>
      </c>
      <c r="C3052" s="1" t="s">
        <v>24</v>
      </c>
      <c r="D3052" s="1" t="str">
        <f>IFERROR(__xludf.DUMMYFUNCTION("GOOGLETRANSLATE(C3052, ""zh-CN"", ""en"")"),"City area")</f>
        <v>City area</v>
      </c>
      <c r="E3052" s="1" t="s">
        <v>8</v>
      </c>
      <c r="F3052" s="1" t="str">
        <f>IFERROR(__xludf.DUMMYFUNCTION("GOOGLETRANSLATE(E3052, ""zh-CN"", ""en"")"),"Na")</f>
        <v>Na</v>
      </c>
      <c r="G3052" s="1">
        <v>1.201E11</v>
      </c>
    </row>
    <row r="3053">
      <c r="A3053" s="1" t="s">
        <v>2805</v>
      </c>
      <c r="B3053" s="1" t="str">
        <f>IFERROR(__xludf.DUMMYFUNCTION("GOOGLETRANSLATE(A2979, ""zh-CN"", ""en"")"),"Shaanxi Province")</f>
        <v>Shaanxi Province</v>
      </c>
      <c r="C3053" s="1" t="s">
        <v>24</v>
      </c>
      <c r="D3053" s="1" t="str">
        <f>IFERROR(__xludf.DUMMYFUNCTION("GOOGLETRANSLATE(C3053, ""zh-CN"", ""en"")"),"City area")</f>
        <v>City area</v>
      </c>
      <c r="E3053" s="1" t="s">
        <v>2806</v>
      </c>
      <c r="F3053" s="1" t="str">
        <f>IFERROR(__xludf.DUMMYFUNCTION("GOOGLETRANSLATE(E3053, ""zh-CN"", ""en"")"),"Heping District")</f>
        <v>Heping District</v>
      </c>
      <c r="G3053" s="1">
        <v>1.20101E11</v>
      </c>
    </row>
    <row r="3054">
      <c r="A3054" s="1" t="s">
        <v>2805</v>
      </c>
      <c r="B3054" s="1" t="str">
        <f>IFERROR(__xludf.DUMMYFUNCTION("GOOGLETRANSLATE(A2980, ""zh-CN"", ""en"")"),"Shaanxi Province")</f>
        <v>Shaanxi Province</v>
      </c>
      <c r="C3054" s="1" t="s">
        <v>24</v>
      </c>
      <c r="D3054" s="1" t="str">
        <f>IFERROR(__xludf.DUMMYFUNCTION("GOOGLETRANSLATE(C3054, ""zh-CN"", ""en"")"),"City area")</f>
        <v>City area</v>
      </c>
      <c r="E3054" s="1" t="s">
        <v>1461</v>
      </c>
      <c r="F3054" s="1" t="str">
        <f>IFERROR(__xludf.DUMMYFUNCTION("GOOGLETRANSLATE(E3054, ""zh-CN"", ""en"")"),"Hedong District")</f>
        <v>Hedong District</v>
      </c>
      <c r="G3054" s="1">
        <v>1.20102E11</v>
      </c>
    </row>
    <row r="3055">
      <c r="A3055" s="1" t="s">
        <v>2805</v>
      </c>
      <c r="B3055" s="1" t="str">
        <f>IFERROR(__xludf.DUMMYFUNCTION("GOOGLETRANSLATE(A2981, ""zh-CN"", ""en"")"),"Shaanxi Province")</f>
        <v>Shaanxi Province</v>
      </c>
      <c r="C3055" s="1" t="s">
        <v>24</v>
      </c>
      <c r="D3055" s="1" t="str">
        <f>IFERROR(__xludf.DUMMYFUNCTION("GOOGLETRANSLATE(C3055, ""zh-CN"", ""en"")"),"City area")</f>
        <v>City area</v>
      </c>
      <c r="E3055" s="1" t="s">
        <v>2807</v>
      </c>
      <c r="F3055" s="1" t="str">
        <f>IFERROR(__xludf.DUMMYFUNCTION("GOOGLETRANSLATE(E3055, ""zh-CN"", ""en"")"),"Hexi District")</f>
        <v>Hexi District</v>
      </c>
      <c r="G3055" s="1">
        <v>1.20103E11</v>
      </c>
    </row>
    <row r="3056">
      <c r="A3056" s="1" t="s">
        <v>2805</v>
      </c>
      <c r="B3056" s="1" t="str">
        <f>IFERROR(__xludf.DUMMYFUNCTION("GOOGLETRANSLATE(A2982, ""zh-CN"", ""en"")"),"Shaanxi Province")</f>
        <v>Shaanxi Province</v>
      </c>
      <c r="C3056" s="1" t="s">
        <v>24</v>
      </c>
      <c r="D3056" s="1" t="str">
        <f>IFERROR(__xludf.DUMMYFUNCTION("GOOGLETRANSLATE(C3056, ""zh-CN"", ""en"")"),"City area")</f>
        <v>City area</v>
      </c>
      <c r="E3056" s="1" t="s">
        <v>2808</v>
      </c>
      <c r="F3056" s="1" t="str">
        <f>IFERROR(__xludf.DUMMYFUNCTION("GOOGLETRANSLATE(E3056, ""zh-CN"", ""en"")"),"Nankai District")</f>
        <v>Nankai District</v>
      </c>
      <c r="G3056" s="1">
        <v>1.20104E11</v>
      </c>
    </row>
    <row r="3057">
      <c r="A3057" s="1" t="s">
        <v>2805</v>
      </c>
      <c r="B3057" s="1" t="str">
        <f>IFERROR(__xludf.DUMMYFUNCTION("GOOGLETRANSLATE(A2983, ""zh-CN"", ""en"")"),"Shaanxi Province")</f>
        <v>Shaanxi Province</v>
      </c>
      <c r="C3057" s="1" t="s">
        <v>24</v>
      </c>
      <c r="D3057" s="1" t="str">
        <f>IFERROR(__xludf.DUMMYFUNCTION("GOOGLETRANSLATE(C3057, ""zh-CN"", ""en"")"),"City area")</f>
        <v>City area</v>
      </c>
      <c r="E3057" s="1" t="s">
        <v>2809</v>
      </c>
      <c r="F3057" s="1" t="str">
        <f>IFERROR(__xludf.DUMMYFUNCTION("GOOGLETRANSLATE(E3057, ""zh-CN"", ""en"")"),"Hebei District")</f>
        <v>Hebei District</v>
      </c>
      <c r="G3057" s="1">
        <v>1.20105E11</v>
      </c>
    </row>
    <row r="3058">
      <c r="A3058" s="1" t="s">
        <v>2805</v>
      </c>
      <c r="B3058" s="1" t="str">
        <f>IFERROR(__xludf.DUMMYFUNCTION("GOOGLETRANSLATE(A2984, ""zh-CN"", ""en"")"),"Shaanxi Province")</f>
        <v>Shaanxi Province</v>
      </c>
      <c r="C3058" s="1" t="s">
        <v>24</v>
      </c>
      <c r="D3058" s="1" t="str">
        <f>IFERROR(__xludf.DUMMYFUNCTION("GOOGLETRANSLATE(C3058, ""zh-CN"", ""en"")"),"City area")</f>
        <v>City area</v>
      </c>
      <c r="E3058" s="1" t="s">
        <v>2810</v>
      </c>
      <c r="F3058" s="1" t="str">
        <f>IFERROR(__xludf.DUMMYFUNCTION("GOOGLETRANSLATE(E3058, ""zh-CN"", ""en"")"),"Hongqiao District")</f>
        <v>Hongqiao District</v>
      </c>
      <c r="G3058" s="1">
        <v>1.20106E11</v>
      </c>
    </row>
    <row r="3059">
      <c r="A3059" s="1" t="s">
        <v>2805</v>
      </c>
      <c r="B3059" s="1" t="str">
        <f>IFERROR(__xludf.DUMMYFUNCTION("GOOGLETRANSLATE(A2985, ""zh-CN"", ""en"")"),"Shaanxi Province")</f>
        <v>Shaanxi Province</v>
      </c>
      <c r="C3059" s="1" t="s">
        <v>24</v>
      </c>
      <c r="D3059" s="1" t="str">
        <f>IFERROR(__xludf.DUMMYFUNCTION("GOOGLETRANSLATE(C3059, ""zh-CN"", ""en"")"),"City area")</f>
        <v>City area</v>
      </c>
      <c r="E3059" s="1" t="s">
        <v>2811</v>
      </c>
      <c r="F3059" s="1" t="str">
        <f>IFERROR(__xludf.DUMMYFUNCTION("GOOGLETRANSLATE(E3059, ""zh-CN"", ""en"")"),"Dongli District")</f>
        <v>Dongli District</v>
      </c>
      <c r="G3059" s="1">
        <v>1.2011E11</v>
      </c>
    </row>
    <row r="3060">
      <c r="A3060" s="1" t="s">
        <v>2805</v>
      </c>
      <c r="B3060" s="1" t="str">
        <f>IFERROR(__xludf.DUMMYFUNCTION("GOOGLETRANSLATE(A2986, ""zh-CN"", ""en"")"),"Shaanxi Province")</f>
        <v>Shaanxi Province</v>
      </c>
      <c r="C3060" s="1" t="s">
        <v>24</v>
      </c>
      <c r="D3060" s="1" t="str">
        <f>IFERROR(__xludf.DUMMYFUNCTION("GOOGLETRANSLATE(C3060, ""zh-CN"", ""en"")"),"City area")</f>
        <v>City area</v>
      </c>
      <c r="E3060" s="1" t="s">
        <v>2812</v>
      </c>
      <c r="F3060" s="1" t="str">
        <f>IFERROR(__xludf.DUMMYFUNCTION("GOOGLETRANSLATE(E3060, ""zh-CN"", ""en"")"),"West Qing District")</f>
        <v>West Qing District</v>
      </c>
      <c r="G3060" s="1">
        <v>1.20111E11</v>
      </c>
    </row>
    <row r="3061">
      <c r="A3061" s="1" t="s">
        <v>2805</v>
      </c>
      <c r="B3061" s="1" t="str">
        <f>IFERROR(__xludf.DUMMYFUNCTION("GOOGLETRANSLATE(A2987, ""zh-CN"", ""en"")"),"Shaanxi Province")</f>
        <v>Shaanxi Province</v>
      </c>
      <c r="C3061" s="1" t="s">
        <v>24</v>
      </c>
      <c r="D3061" s="1" t="str">
        <f>IFERROR(__xludf.DUMMYFUNCTION("GOOGLETRANSLATE(C3061, ""zh-CN"", ""en"")"),"City area")</f>
        <v>City area</v>
      </c>
      <c r="E3061" s="1" t="s">
        <v>2813</v>
      </c>
      <c r="F3061" s="1" t="str">
        <f>IFERROR(__xludf.DUMMYFUNCTION("GOOGLETRANSLATE(E3061, ""zh-CN"", ""en"")"),"Jinnan District")</f>
        <v>Jinnan District</v>
      </c>
      <c r="G3061" s="1">
        <v>1.20112E11</v>
      </c>
    </row>
    <row r="3062">
      <c r="A3062" s="1" t="s">
        <v>2805</v>
      </c>
      <c r="B3062" s="1" t="str">
        <f>IFERROR(__xludf.DUMMYFUNCTION("GOOGLETRANSLATE(A2988, ""zh-CN"", ""en"")"),"Shaanxi Province")</f>
        <v>Shaanxi Province</v>
      </c>
      <c r="C3062" s="1" t="s">
        <v>24</v>
      </c>
      <c r="D3062" s="1" t="str">
        <f>IFERROR(__xludf.DUMMYFUNCTION("GOOGLETRANSLATE(C3062, ""zh-CN"", ""en"")"),"City area")</f>
        <v>City area</v>
      </c>
      <c r="E3062" s="1" t="s">
        <v>2814</v>
      </c>
      <c r="F3062" s="1" t="str">
        <f>IFERROR(__xludf.DUMMYFUNCTION("GOOGLETRANSLATE(E3062, ""zh-CN"", ""en"")"),"Beichen District")</f>
        <v>Beichen District</v>
      </c>
      <c r="G3062" s="1">
        <v>1.20113E11</v>
      </c>
    </row>
    <row r="3063">
      <c r="A3063" s="1" t="s">
        <v>2805</v>
      </c>
      <c r="B3063" s="1" t="str">
        <f>IFERROR(__xludf.DUMMYFUNCTION("GOOGLETRANSLATE(A2989, ""zh-CN"", ""en"")"),"Shaanxi Province")</f>
        <v>Shaanxi Province</v>
      </c>
      <c r="C3063" s="1" t="s">
        <v>24</v>
      </c>
      <c r="D3063" s="1" t="str">
        <f>IFERROR(__xludf.DUMMYFUNCTION("GOOGLETRANSLATE(C3063, ""zh-CN"", ""en"")"),"City area")</f>
        <v>City area</v>
      </c>
      <c r="E3063" s="1" t="s">
        <v>2815</v>
      </c>
      <c r="F3063" s="1" t="str">
        <f>IFERROR(__xludf.DUMMYFUNCTION("GOOGLETRANSLATE(E3063, ""zh-CN"", ""en"")"),"Wuqing District")</f>
        <v>Wuqing District</v>
      </c>
      <c r="G3063" s="1">
        <v>1.20114E11</v>
      </c>
    </row>
    <row r="3064">
      <c r="A3064" s="1" t="s">
        <v>2805</v>
      </c>
      <c r="B3064" s="1" t="str">
        <f>IFERROR(__xludf.DUMMYFUNCTION("GOOGLETRANSLATE(A2990, ""zh-CN"", ""en"")"),"Shaanxi Province")</f>
        <v>Shaanxi Province</v>
      </c>
      <c r="C3064" s="1" t="s">
        <v>24</v>
      </c>
      <c r="D3064" s="1" t="str">
        <f>IFERROR(__xludf.DUMMYFUNCTION("GOOGLETRANSLATE(C3064, ""zh-CN"", ""en"")"),"City area")</f>
        <v>City area</v>
      </c>
      <c r="E3064" s="1" t="s">
        <v>2816</v>
      </c>
      <c r="F3064" s="1" t="str">
        <f>IFERROR(__xludf.DUMMYFUNCTION("GOOGLETRANSLATE(E3064, ""zh-CN"", ""en"")"),"Baoyu District")</f>
        <v>Baoyu District</v>
      </c>
      <c r="G3064" s="1">
        <v>1.20115E11</v>
      </c>
    </row>
    <row r="3065">
      <c r="A3065" s="1" t="s">
        <v>2805</v>
      </c>
      <c r="B3065" s="1" t="str">
        <f>IFERROR(__xludf.DUMMYFUNCTION("GOOGLETRANSLATE(A2991, ""zh-CN"", ""en"")"),"Shaanxi Province")</f>
        <v>Shaanxi Province</v>
      </c>
      <c r="C3065" s="1" t="s">
        <v>24</v>
      </c>
      <c r="D3065" s="1" t="str">
        <f>IFERROR(__xludf.DUMMYFUNCTION("GOOGLETRANSLATE(C3065, ""zh-CN"", ""en"")"),"City area")</f>
        <v>City area</v>
      </c>
      <c r="E3065" s="1" t="s">
        <v>2817</v>
      </c>
      <c r="F3065" s="1" t="str">
        <f>IFERROR(__xludf.DUMMYFUNCTION("GOOGLETRANSLATE(E3065, ""zh-CN"", ""en"")"),"Binhai New Area")</f>
        <v>Binhai New Area</v>
      </c>
      <c r="G3065" s="1">
        <v>1.20116E11</v>
      </c>
    </row>
    <row r="3066">
      <c r="A3066" s="1" t="s">
        <v>2805</v>
      </c>
      <c r="B3066" s="1" t="str">
        <f>IFERROR(__xludf.DUMMYFUNCTION("GOOGLETRANSLATE(A2992, ""zh-CN"", ""en"")"),"Shaanxi Province")</f>
        <v>Shaanxi Province</v>
      </c>
      <c r="C3066" s="1" t="s">
        <v>24</v>
      </c>
      <c r="D3066" s="1" t="str">
        <f>IFERROR(__xludf.DUMMYFUNCTION("GOOGLETRANSLATE(C3066, ""zh-CN"", ""en"")"),"City area")</f>
        <v>City area</v>
      </c>
      <c r="E3066" s="1" t="s">
        <v>2818</v>
      </c>
      <c r="F3066" s="1" t="str">
        <f>IFERROR(__xludf.DUMMYFUNCTION("GOOGLETRANSLATE(E3066, ""zh-CN"", ""en"")"),"Ninghe District")</f>
        <v>Ninghe District</v>
      </c>
      <c r="G3066" s="1">
        <v>1.20117E11</v>
      </c>
    </row>
    <row r="3067">
      <c r="A3067" s="1" t="s">
        <v>2805</v>
      </c>
      <c r="B3067" s="1" t="str">
        <f>IFERROR(__xludf.DUMMYFUNCTION("GOOGLETRANSLATE(A2993, ""zh-CN"", ""en"")"),"Shaanxi Province")</f>
        <v>Shaanxi Province</v>
      </c>
      <c r="C3067" s="1" t="s">
        <v>24</v>
      </c>
      <c r="D3067" s="1" t="str">
        <f>IFERROR(__xludf.DUMMYFUNCTION("GOOGLETRANSLATE(C3067, ""zh-CN"", ""en"")"),"City area")</f>
        <v>City area</v>
      </c>
      <c r="E3067" s="1" t="s">
        <v>2819</v>
      </c>
      <c r="F3067" s="1" t="str">
        <f>IFERROR(__xludf.DUMMYFUNCTION("GOOGLETRANSLATE(E3067, ""zh-CN"", ""en"")"),"Jinghai District")</f>
        <v>Jinghai District</v>
      </c>
      <c r="G3067" s="1">
        <v>1.20118E11</v>
      </c>
    </row>
    <row r="3068">
      <c r="A3068" s="1" t="s">
        <v>2805</v>
      </c>
      <c r="B3068" s="1" t="str">
        <f>IFERROR(__xludf.DUMMYFUNCTION("GOOGLETRANSLATE(A2994, ""zh-CN"", ""en"")"),"Shaanxi Province")</f>
        <v>Shaanxi Province</v>
      </c>
      <c r="C3068" s="1" t="s">
        <v>24</v>
      </c>
      <c r="D3068" s="1" t="str">
        <f>IFERROR(__xludf.DUMMYFUNCTION("GOOGLETRANSLATE(C3068, ""zh-CN"", ""en"")"),"City area")</f>
        <v>City area</v>
      </c>
      <c r="E3068" s="1" t="s">
        <v>2820</v>
      </c>
      <c r="F3068" s="1" t="str">
        <f>IFERROR(__xludf.DUMMYFUNCTION("GOOGLETRANSLATE(E3068, ""zh-CN"", ""en"")"),"Jizhou District")</f>
        <v>Jizhou District</v>
      </c>
      <c r="G3068" s="1">
        <v>1.20119E11</v>
      </c>
    </row>
    <row r="3069">
      <c r="A3069" s="1" t="s">
        <v>2821</v>
      </c>
      <c r="B3069" s="1" t="str">
        <f>IFERROR(__xludf.DUMMYFUNCTION("GOOGLETRANSLATE(A2995, ""zh-CN"", ""en"")"),"Shaanxi Province")</f>
        <v>Shaanxi Province</v>
      </c>
      <c r="C3069" s="1" t="s">
        <v>8</v>
      </c>
      <c r="D3069" s="1" t="str">
        <f>IFERROR(__xludf.DUMMYFUNCTION("GOOGLETRANSLATE(C3069, ""zh-CN"", ""en"")"),"Na")</f>
        <v>Na</v>
      </c>
      <c r="E3069" s="1" t="s">
        <v>8</v>
      </c>
      <c r="F3069" s="1" t="str">
        <f>IFERROR(__xludf.DUMMYFUNCTION("GOOGLETRANSLATE(E3069, ""zh-CN"", ""en"")"),"Na")</f>
        <v>Na</v>
      </c>
      <c r="G3069" s="1">
        <v>46.0</v>
      </c>
    </row>
    <row r="3070">
      <c r="A3070" s="1" t="s">
        <v>2821</v>
      </c>
      <c r="B3070" s="1" t="str">
        <f>IFERROR(__xludf.DUMMYFUNCTION("GOOGLETRANSLATE(A2996, ""zh-CN"", ""en"")"),"Shaanxi Province")</f>
        <v>Shaanxi Province</v>
      </c>
      <c r="C3070" s="1" t="s">
        <v>2822</v>
      </c>
      <c r="D3070" s="1" t="str">
        <f>IFERROR(__xludf.DUMMYFUNCTION("GOOGLETRANSLATE(C3070, ""zh-CN"", ""en"")"),"Haikou")</f>
        <v>Haikou</v>
      </c>
      <c r="E3070" s="1" t="s">
        <v>8</v>
      </c>
      <c r="F3070" s="1" t="str">
        <f>IFERROR(__xludf.DUMMYFUNCTION("GOOGLETRANSLATE(E3070, ""zh-CN"", ""en"")"),"Na")</f>
        <v>Na</v>
      </c>
      <c r="G3070" s="1">
        <v>4.601E11</v>
      </c>
    </row>
    <row r="3071">
      <c r="A3071" s="1" t="s">
        <v>2821</v>
      </c>
      <c r="B3071" s="1" t="str">
        <f>IFERROR(__xludf.DUMMYFUNCTION("GOOGLETRANSLATE(A2997, ""zh-CN"", ""en"")"),"Shaanxi Province")</f>
        <v>Shaanxi Province</v>
      </c>
      <c r="C3071" s="1" t="s">
        <v>2823</v>
      </c>
      <c r="D3071" s="1" t="str">
        <f>IFERROR(__xludf.DUMMYFUNCTION("GOOGLETRANSLATE(C3071, ""zh-CN"", ""en"")"),"Sanya City")</f>
        <v>Sanya City</v>
      </c>
      <c r="E3071" s="1" t="s">
        <v>8</v>
      </c>
      <c r="F3071" s="1" t="str">
        <f>IFERROR(__xludf.DUMMYFUNCTION("GOOGLETRANSLATE(E3071, ""zh-CN"", ""en"")"),"Na")</f>
        <v>Na</v>
      </c>
      <c r="G3071" s="1">
        <v>4.602E11</v>
      </c>
    </row>
    <row r="3072">
      <c r="A3072" s="1" t="s">
        <v>2821</v>
      </c>
      <c r="B3072" s="1" t="str">
        <f>IFERROR(__xludf.DUMMYFUNCTION("GOOGLETRANSLATE(A2998, ""zh-CN"", ""en"")"),"Shaanxi Province")</f>
        <v>Shaanxi Province</v>
      </c>
      <c r="C3072" s="1" t="s">
        <v>2824</v>
      </c>
      <c r="D3072" s="1" t="str">
        <f>IFERROR(__xludf.DUMMYFUNCTION("GOOGLETRANSLATE(C3072, ""zh-CN"", ""en"")"),"Sansha City")</f>
        <v>Sansha City</v>
      </c>
      <c r="E3072" s="1" t="s">
        <v>8</v>
      </c>
      <c r="F3072" s="1" t="str">
        <f>IFERROR(__xludf.DUMMYFUNCTION("GOOGLETRANSLATE(E3072, ""zh-CN"", ""en"")"),"Na")</f>
        <v>Na</v>
      </c>
      <c r="G3072" s="1">
        <v>4.603E11</v>
      </c>
    </row>
    <row r="3073">
      <c r="A3073" s="1" t="s">
        <v>2821</v>
      </c>
      <c r="B3073" s="1" t="str">
        <f>IFERROR(__xludf.DUMMYFUNCTION("GOOGLETRANSLATE(A2999, ""zh-CN"", ""en"")"),"Shaanxi Province")</f>
        <v>Shaanxi Province</v>
      </c>
      <c r="C3073" s="1" t="s">
        <v>2825</v>
      </c>
      <c r="D3073" s="1" t="str">
        <f>IFERROR(__xludf.DUMMYFUNCTION("GOOGLETRANSLATE(C3073, ""zh-CN"", ""en"")"),"Dazhou City")</f>
        <v>Dazhou City</v>
      </c>
      <c r="E3073" s="1" t="s">
        <v>8</v>
      </c>
      <c r="F3073" s="1" t="str">
        <f>IFERROR(__xludf.DUMMYFUNCTION("GOOGLETRANSLATE(E3073, ""zh-CN"", ""en"")"),"Na")</f>
        <v>Na</v>
      </c>
      <c r="G3073" s="1">
        <v>4.604E11</v>
      </c>
    </row>
    <row r="3074">
      <c r="A3074" s="1" t="s">
        <v>2821</v>
      </c>
      <c r="B3074" s="1" t="str">
        <f>IFERROR(__xludf.DUMMYFUNCTION("GOOGLETRANSLATE(A3000, ""zh-CN"", ""en"")"),"Shaanxi Province")</f>
        <v>Shaanxi Province</v>
      </c>
      <c r="C3074" s="1" t="s">
        <v>2125</v>
      </c>
      <c r="D3074" s="1" t="str">
        <f>IFERROR(__xludf.DUMMYFUNCTION("GOOGLETRANSLATE(C3074, ""zh-CN"", ""en"")"),"Provincial and county -level administrative divisions directly under the jurisdiction")</f>
        <v>Provincial and county -level administrative divisions directly under the jurisdiction</v>
      </c>
      <c r="E3074" s="1" t="s">
        <v>8</v>
      </c>
      <c r="F3074" s="1" t="str">
        <f>IFERROR(__xludf.DUMMYFUNCTION("GOOGLETRANSLATE(E3074, ""zh-CN"", ""en"")"),"Na")</f>
        <v>Na</v>
      </c>
      <c r="G3074" s="1">
        <v>4.69E11</v>
      </c>
    </row>
    <row r="3075">
      <c r="A3075" s="1" t="s">
        <v>2821</v>
      </c>
      <c r="B3075" s="1" t="str">
        <f>IFERROR(__xludf.DUMMYFUNCTION("GOOGLETRANSLATE(A3001, ""zh-CN"", ""en"")"),"Shaanxi Province")</f>
        <v>Shaanxi Province</v>
      </c>
      <c r="C3075" s="1" t="s">
        <v>2822</v>
      </c>
      <c r="D3075" s="1" t="str">
        <f>IFERROR(__xludf.DUMMYFUNCTION("GOOGLETRANSLATE(C3075, ""zh-CN"", ""en"")"),"Haikou")</f>
        <v>Haikou</v>
      </c>
      <c r="E3075" s="1" t="s">
        <v>24</v>
      </c>
      <c r="F3075" s="1" t="str">
        <f>IFERROR(__xludf.DUMMYFUNCTION("GOOGLETRANSLATE(E3075, ""zh-CN"", ""en"")"),"City area")</f>
        <v>City area</v>
      </c>
      <c r="G3075" s="1">
        <v>4.60101E11</v>
      </c>
    </row>
    <row r="3076">
      <c r="A3076" s="1" t="s">
        <v>2821</v>
      </c>
      <c r="B3076" s="1" t="str">
        <f>IFERROR(__xludf.DUMMYFUNCTION("GOOGLETRANSLATE(A3002, ""zh-CN"", ""en"")"),"Shaanxi Province")</f>
        <v>Shaanxi Province</v>
      </c>
      <c r="C3076" s="1" t="s">
        <v>2822</v>
      </c>
      <c r="D3076" s="1" t="str">
        <f>IFERROR(__xludf.DUMMYFUNCTION("GOOGLETRANSLATE(C3076, ""zh-CN"", ""en"")"),"Haikou")</f>
        <v>Haikou</v>
      </c>
      <c r="E3076" s="1" t="s">
        <v>2826</v>
      </c>
      <c r="F3076" s="1" t="str">
        <f>IFERROR(__xludf.DUMMYFUNCTION("GOOGLETRANSLATE(E3076, ""zh-CN"", ""en"")"),"Xiuying District")</f>
        <v>Xiuying District</v>
      </c>
      <c r="G3076" s="1">
        <v>4.60105E11</v>
      </c>
    </row>
    <row r="3077">
      <c r="A3077" s="1" t="s">
        <v>2821</v>
      </c>
      <c r="B3077" s="1" t="str">
        <f>IFERROR(__xludf.DUMMYFUNCTION("GOOGLETRANSLATE(A3003, ""zh-CN"", ""en"")"),"Shaanxi Province")</f>
        <v>Shaanxi Province</v>
      </c>
      <c r="C3077" s="1" t="s">
        <v>2822</v>
      </c>
      <c r="D3077" s="1" t="str">
        <f>IFERROR(__xludf.DUMMYFUNCTION("GOOGLETRANSLATE(C3077, ""zh-CN"", ""en"")"),"Haikou")</f>
        <v>Haikou</v>
      </c>
      <c r="E3077" s="1" t="s">
        <v>772</v>
      </c>
      <c r="F3077" s="1" t="str">
        <f>IFERROR(__xludf.DUMMYFUNCTION("GOOGLETRANSLATE(E3077, ""zh-CN"", ""en"")"),"Longhua District")</f>
        <v>Longhua District</v>
      </c>
      <c r="G3077" s="1">
        <v>4.60106E11</v>
      </c>
    </row>
    <row r="3078">
      <c r="A3078" s="1" t="s">
        <v>2821</v>
      </c>
      <c r="B3078" s="1" t="str">
        <f>IFERROR(__xludf.DUMMYFUNCTION("GOOGLETRANSLATE(A3004, ""zh-CN"", ""en"")"),"Shaanxi Province")</f>
        <v>Shaanxi Province</v>
      </c>
      <c r="C3078" s="1" t="s">
        <v>2822</v>
      </c>
      <c r="D3078" s="1" t="str">
        <f>IFERROR(__xludf.DUMMYFUNCTION("GOOGLETRANSLATE(C3078, ""zh-CN"", ""en"")"),"Haikou")</f>
        <v>Haikou</v>
      </c>
      <c r="E3078" s="1" t="s">
        <v>2827</v>
      </c>
      <c r="F3078" s="1" t="str">
        <f>IFERROR(__xludf.DUMMYFUNCTION("GOOGLETRANSLATE(E3078, ""zh-CN"", ""en"")"),"Qiongshan District")</f>
        <v>Qiongshan District</v>
      </c>
      <c r="G3078" s="1">
        <v>4.60107E11</v>
      </c>
    </row>
    <row r="3079">
      <c r="A3079" s="1" t="s">
        <v>2821</v>
      </c>
      <c r="B3079" s="1" t="str">
        <f>IFERROR(__xludf.DUMMYFUNCTION("GOOGLETRANSLATE(A3005, ""zh-CN"", ""en"")"),"Shaanxi Province")</f>
        <v>Shaanxi Province</v>
      </c>
      <c r="C3079" s="1" t="s">
        <v>2822</v>
      </c>
      <c r="D3079" s="1" t="str">
        <f>IFERROR(__xludf.DUMMYFUNCTION("GOOGLETRANSLATE(C3079, ""zh-CN"", ""en"")"),"Haikou")</f>
        <v>Haikou</v>
      </c>
      <c r="E3079" s="1" t="s">
        <v>2828</v>
      </c>
      <c r="F3079" s="1" t="str">
        <f>IFERROR(__xludf.DUMMYFUNCTION("GOOGLETRANSLATE(E3079, ""zh-CN"", ""en"")"),"Meilan District")</f>
        <v>Meilan District</v>
      </c>
      <c r="G3079" s="1">
        <v>4.60108E11</v>
      </c>
    </row>
    <row r="3080">
      <c r="A3080" s="1" t="s">
        <v>2821</v>
      </c>
      <c r="B3080" s="1" t="str">
        <f>IFERROR(__xludf.DUMMYFUNCTION("GOOGLETRANSLATE(A3006, ""zh-CN"", ""en"")"),"Shaanxi Province")</f>
        <v>Shaanxi Province</v>
      </c>
      <c r="C3080" s="1" t="s">
        <v>2823</v>
      </c>
      <c r="D3080" s="1" t="str">
        <f>IFERROR(__xludf.DUMMYFUNCTION("GOOGLETRANSLATE(C3080, ""zh-CN"", ""en"")"),"Sanya City")</f>
        <v>Sanya City</v>
      </c>
      <c r="E3080" s="1" t="s">
        <v>24</v>
      </c>
      <c r="F3080" s="1" t="str">
        <f>IFERROR(__xludf.DUMMYFUNCTION("GOOGLETRANSLATE(E3080, ""zh-CN"", ""en"")"),"City area")</f>
        <v>City area</v>
      </c>
      <c r="G3080" s="1">
        <v>4.60201E11</v>
      </c>
    </row>
    <row r="3081">
      <c r="A3081" s="1" t="s">
        <v>2821</v>
      </c>
      <c r="B3081" s="1" t="str">
        <f>IFERROR(__xludf.DUMMYFUNCTION("GOOGLETRANSLATE(A3007, ""zh-CN"", ""en"")"),"Shaanxi Province")</f>
        <v>Shaanxi Province</v>
      </c>
      <c r="C3081" s="1" t="s">
        <v>2823</v>
      </c>
      <c r="D3081" s="1" t="str">
        <f>IFERROR(__xludf.DUMMYFUNCTION("GOOGLETRANSLATE(C3081, ""zh-CN"", ""en"")"),"Sanya City")</f>
        <v>Sanya City</v>
      </c>
      <c r="E3081" s="1" t="s">
        <v>2829</v>
      </c>
      <c r="F3081" s="1" t="str">
        <f>IFERROR(__xludf.DUMMYFUNCTION("GOOGLETRANSLATE(E3081, ""zh-CN"", ""en"")"),"Begonia")</f>
        <v>Begonia</v>
      </c>
      <c r="G3081" s="1">
        <v>4.60202E11</v>
      </c>
    </row>
    <row r="3082">
      <c r="A3082" s="1" t="s">
        <v>2821</v>
      </c>
      <c r="B3082" s="1" t="str">
        <f>IFERROR(__xludf.DUMMYFUNCTION("GOOGLETRANSLATE(A3008, ""zh-CN"", ""en"")"),"Shaanxi Province")</f>
        <v>Shaanxi Province</v>
      </c>
      <c r="C3082" s="1" t="s">
        <v>2823</v>
      </c>
      <c r="D3082" s="1" t="str">
        <f>IFERROR(__xludf.DUMMYFUNCTION("GOOGLETRANSLATE(C3082, ""zh-CN"", ""en"")"),"Sanya City")</f>
        <v>Sanya City</v>
      </c>
      <c r="E3082" s="1" t="s">
        <v>2830</v>
      </c>
      <c r="F3082" s="1" t="str">
        <f>IFERROR(__xludf.DUMMYFUNCTION("GOOGLETRANSLATE(E3082, ""zh-CN"", ""en"")"),"Jiyang District")</f>
        <v>Jiyang District</v>
      </c>
      <c r="G3082" s="1">
        <v>4.60203E11</v>
      </c>
    </row>
    <row r="3083">
      <c r="A3083" s="1" t="s">
        <v>2821</v>
      </c>
      <c r="B3083" s="1" t="str">
        <f>IFERROR(__xludf.DUMMYFUNCTION("GOOGLETRANSLATE(A3009, ""zh-CN"", ""en"")"),"Shaanxi Province")</f>
        <v>Shaanxi Province</v>
      </c>
      <c r="C3083" s="1" t="s">
        <v>2823</v>
      </c>
      <c r="D3083" s="1" t="str">
        <f>IFERROR(__xludf.DUMMYFUNCTION("GOOGLETRANSLATE(C3083, ""zh-CN"", ""en"")"),"Sanya City")</f>
        <v>Sanya City</v>
      </c>
      <c r="E3083" s="1" t="s">
        <v>2831</v>
      </c>
      <c r="F3083" s="1" t="str">
        <f>IFERROR(__xludf.DUMMYFUNCTION("GOOGLETRANSLATE(E3083, ""zh-CN"", ""en"")"),"Horizon")</f>
        <v>Horizon</v>
      </c>
      <c r="G3083" s="1">
        <v>4.60204E11</v>
      </c>
    </row>
    <row r="3084">
      <c r="A3084" s="1" t="s">
        <v>2821</v>
      </c>
      <c r="B3084" s="1" t="str">
        <f>IFERROR(__xludf.DUMMYFUNCTION("GOOGLETRANSLATE(A3010, ""zh-CN"", ""en"")"),"Chongqing")</f>
        <v>Chongqing</v>
      </c>
      <c r="C3084" s="1" t="s">
        <v>2823</v>
      </c>
      <c r="D3084" s="1" t="str">
        <f>IFERROR(__xludf.DUMMYFUNCTION("GOOGLETRANSLATE(C3084, ""zh-CN"", ""en"")"),"Sanya City")</f>
        <v>Sanya City</v>
      </c>
      <c r="E3084" s="1" t="s">
        <v>2832</v>
      </c>
      <c r="F3084" s="1" t="str">
        <f>IFERROR(__xludf.DUMMYFUNCTION("GOOGLETRANSLATE(E3084, ""zh-CN"", ""en"")"),"Yazhou District")</f>
        <v>Yazhou District</v>
      </c>
      <c r="G3084" s="1">
        <v>4.60205E11</v>
      </c>
    </row>
    <row r="3085">
      <c r="A3085" s="1" t="s">
        <v>2821</v>
      </c>
      <c r="B3085" s="1" t="str">
        <f>IFERROR(__xludf.DUMMYFUNCTION("GOOGLETRANSLATE(A3011, ""zh-CN"", ""en"")"),"Chongqing")</f>
        <v>Chongqing</v>
      </c>
      <c r="C3085" s="1" t="s">
        <v>2824</v>
      </c>
      <c r="D3085" s="1" t="str">
        <f>IFERROR(__xludf.DUMMYFUNCTION("GOOGLETRANSLATE(C3085, ""zh-CN"", ""en"")"),"Sansha City")</f>
        <v>Sansha City</v>
      </c>
      <c r="E3085" s="1" t="s">
        <v>2833</v>
      </c>
      <c r="F3085" s="1" t="str">
        <f>IFERROR(__xludf.DUMMYFUNCTION("GOOGLETRANSLATE(E3085, ""zh-CN"", ""en"")"),"Xisha Islands")</f>
        <v>Xisha Islands</v>
      </c>
      <c r="G3085" s="1">
        <v>4.60321E11</v>
      </c>
    </row>
    <row r="3086">
      <c r="A3086" s="1" t="s">
        <v>2821</v>
      </c>
      <c r="B3086" s="1" t="str">
        <f>IFERROR(__xludf.DUMMYFUNCTION("GOOGLETRANSLATE(A3012, ""zh-CN"", ""en"")"),"Chongqing")</f>
        <v>Chongqing</v>
      </c>
      <c r="C3086" s="1" t="s">
        <v>2824</v>
      </c>
      <c r="D3086" s="1" t="str">
        <f>IFERROR(__xludf.DUMMYFUNCTION("GOOGLETRANSLATE(C3086, ""zh-CN"", ""en"")"),"Sansha City")</f>
        <v>Sansha City</v>
      </c>
      <c r="E3086" s="1" t="s">
        <v>2834</v>
      </c>
      <c r="F3086" s="1" t="str">
        <f>IFERROR(__xludf.DUMMYFUNCTION("GOOGLETRANSLATE(E3086, ""zh-CN"", ""en"")"),"Nansha Islands")</f>
        <v>Nansha Islands</v>
      </c>
      <c r="G3086" s="1">
        <v>4.60322E11</v>
      </c>
    </row>
    <row r="3087">
      <c r="A3087" s="1" t="s">
        <v>2821</v>
      </c>
      <c r="B3087" s="1" t="str">
        <f>IFERROR(__xludf.DUMMYFUNCTION("GOOGLETRANSLATE(A3013, ""zh-CN"", ""en"")"),"Chongqing")</f>
        <v>Chongqing</v>
      </c>
      <c r="C3087" s="1" t="s">
        <v>2824</v>
      </c>
      <c r="D3087" s="1" t="str">
        <f>IFERROR(__xludf.DUMMYFUNCTION("GOOGLETRANSLATE(C3087, ""zh-CN"", ""en"")"),"Sansha City")</f>
        <v>Sansha City</v>
      </c>
      <c r="E3087" s="1" t="s">
        <v>2835</v>
      </c>
      <c r="F3087" s="1" t="str">
        <f>IFERROR(__xludf.DUMMYFUNCTION("GOOGLETRANSLATE(E3087, ""zh-CN"", ""en"")"),"The islands and reefs of the Zhongsha Islands and its waters")</f>
        <v>The islands and reefs of the Zhongsha Islands and its waters</v>
      </c>
      <c r="G3087" s="1">
        <v>4.60323E11</v>
      </c>
    </row>
    <row r="3088">
      <c r="A3088" s="1" t="s">
        <v>2821</v>
      </c>
      <c r="B3088" s="1" t="str">
        <f>IFERROR(__xludf.DUMMYFUNCTION("GOOGLETRANSLATE(A3014, ""zh-CN"", ""en"")"),"Chongqing")</f>
        <v>Chongqing</v>
      </c>
      <c r="C3088" s="1" t="s">
        <v>2125</v>
      </c>
      <c r="D3088" s="1" t="str">
        <f>IFERROR(__xludf.DUMMYFUNCTION("GOOGLETRANSLATE(C3088, ""zh-CN"", ""en"")"),"Provincial and county -level administrative divisions directly under the jurisdiction")</f>
        <v>Provincial and county -level administrative divisions directly under the jurisdiction</v>
      </c>
      <c r="E3088" s="1" t="s">
        <v>2836</v>
      </c>
      <c r="F3088" s="1" t="str">
        <f>IFERROR(__xludf.DUMMYFUNCTION("GOOGLETRANSLATE(E3088, ""zh-CN"", ""en"")"),"Wuzhishan City")</f>
        <v>Wuzhishan City</v>
      </c>
      <c r="G3088" s="1">
        <v>4.69001E11</v>
      </c>
    </row>
    <row r="3089">
      <c r="A3089" s="1" t="s">
        <v>2821</v>
      </c>
      <c r="B3089" s="1" t="str">
        <f>IFERROR(__xludf.DUMMYFUNCTION("GOOGLETRANSLATE(A3015, ""zh-CN"", ""en"")"),"Chongqing")</f>
        <v>Chongqing</v>
      </c>
      <c r="C3089" s="1" t="s">
        <v>2125</v>
      </c>
      <c r="D3089" s="1" t="str">
        <f>IFERROR(__xludf.DUMMYFUNCTION("GOOGLETRANSLATE(C3089, ""zh-CN"", ""en"")"),"Provincial and county -level administrative divisions directly under the jurisdiction")</f>
        <v>Provincial and county -level administrative divisions directly under the jurisdiction</v>
      </c>
      <c r="E3089" s="1" t="s">
        <v>2837</v>
      </c>
      <c r="F3089" s="1" t="str">
        <f>IFERROR(__xludf.DUMMYFUNCTION("GOOGLETRANSLATE(E3089, ""zh-CN"", ""en"")"),"Qionghai City")</f>
        <v>Qionghai City</v>
      </c>
      <c r="G3089" s="1">
        <v>4.69002E11</v>
      </c>
    </row>
    <row r="3090">
      <c r="A3090" s="1" t="s">
        <v>2821</v>
      </c>
      <c r="B3090" s="1" t="str">
        <f>IFERROR(__xludf.DUMMYFUNCTION("GOOGLETRANSLATE(A3016, ""zh-CN"", ""en"")"),"Chongqing")</f>
        <v>Chongqing</v>
      </c>
      <c r="C3090" s="1" t="s">
        <v>2125</v>
      </c>
      <c r="D3090" s="1" t="str">
        <f>IFERROR(__xludf.DUMMYFUNCTION("GOOGLETRANSLATE(C3090, ""zh-CN"", ""en"")"),"Provincial and county -level administrative divisions directly under the jurisdiction")</f>
        <v>Provincial and county -level administrative divisions directly under the jurisdiction</v>
      </c>
      <c r="E3090" s="1" t="s">
        <v>2838</v>
      </c>
      <c r="F3090" s="1" t="str">
        <f>IFERROR(__xludf.DUMMYFUNCTION("GOOGLETRANSLATE(E3090, ""zh-CN"", ""en"")"),"Wenchang City")</f>
        <v>Wenchang City</v>
      </c>
      <c r="G3090" s="1">
        <v>4.69005E11</v>
      </c>
    </row>
    <row r="3091">
      <c r="A3091" s="1" t="s">
        <v>2821</v>
      </c>
      <c r="B3091" s="1" t="str">
        <f>IFERROR(__xludf.DUMMYFUNCTION("GOOGLETRANSLATE(A3017, ""zh-CN"", ""en"")"),"Chongqing")</f>
        <v>Chongqing</v>
      </c>
      <c r="C3091" s="1" t="s">
        <v>2125</v>
      </c>
      <c r="D3091" s="1" t="str">
        <f>IFERROR(__xludf.DUMMYFUNCTION("GOOGLETRANSLATE(C3091, ""zh-CN"", ""en"")"),"Provincial and county -level administrative divisions directly under the jurisdiction")</f>
        <v>Provincial and county -level administrative divisions directly under the jurisdiction</v>
      </c>
      <c r="E3091" s="1" t="s">
        <v>2839</v>
      </c>
      <c r="F3091" s="1" t="str">
        <f>IFERROR(__xludf.DUMMYFUNCTION("GOOGLETRANSLATE(E3091, ""zh-CN"", ""en"")"),"Wanning City")</f>
        <v>Wanning City</v>
      </c>
      <c r="G3091" s="1">
        <v>4.69006E11</v>
      </c>
    </row>
    <row r="3092">
      <c r="A3092" s="1" t="s">
        <v>2821</v>
      </c>
      <c r="B3092" s="1" t="str">
        <f>IFERROR(__xludf.DUMMYFUNCTION("GOOGLETRANSLATE(A3018, ""zh-CN"", ""en"")"),"Chongqing")</f>
        <v>Chongqing</v>
      </c>
      <c r="C3092" s="1" t="s">
        <v>2125</v>
      </c>
      <c r="D3092" s="1" t="str">
        <f>IFERROR(__xludf.DUMMYFUNCTION("GOOGLETRANSLATE(C3092, ""zh-CN"", ""en"")"),"Provincial and county -level administrative divisions directly under the jurisdiction")</f>
        <v>Provincial and county -level administrative divisions directly under the jurisdiction</v>
      </c>
      <c r="E3092" s="1" t="s">
        <v>2840</v>
      </c>
      <c r="F3092" s="1" t="str">
        <f>IFERROR(__xludf.DUMMYFUNCTION("GOOGLETRANSLATE(E3092, ""zh-CN"", ""en"")"),"Oriental City")</f>
        <v>Oriental City</v>
      </c>
      <c r="G3092" s="1">
        <v>4.69007E11</v>
      </c>
    </row>
    <row r="3093">
      <c r="A3093" s="1" t="s">
        <v>2821</v>
      </c>
      <c r="B3093" s="1" t="str">
        <f>IFERROR(__xludf.DUMMYFUNCTION("GOOGLETRANSLATE(A3019, ""zh-CN"", ""en"")"),"Chongqing")</f>
        <v>Chongqing</v>
      </c>
      <c r="C3093" s="1" t="s">
        <v>2125</v>
      </c>
      <c r="D3093" s="1" t="str">
        <f>IFERROR(__xludf.DUMMYFUNCTION("GOOGLETRANSLATE(C3093, ""zh-CN"", ""en"")"),"Provincial and county -level administrative divisions directly under the jurisdiction")</f>
        <v>Provincial and county -level administrative divisions directly under the jurisdiction</v>
      </c>
      <c r="E3093" s="1" t="s">
        <v>2841</v>
      </c>
      <c r="F3093" s="1" t="str">
        <f>IFERROR(__xludf.DUMMYFUNCTION("GOOGLETRANSLATE(E3093, ""zh-CN"", ""en"")"),"Ding'an County")</f>
        <v>Ding'an County</v>
      </c>
      <c r="G3093" s="1">
        <v>4.69021E11</v>
      </c>
    </row>
    <row r="3094">
      <c r="A3094" s="1" t="s">
        <v>2821</v>
      </c>
      <c r="B3094" s="1" t="str">
        <f>IFERROR(__xludf.DUMMYFUNCTION("GOOGLETRANSLATE(A3020, ""zh-CN"", ""en"")"),"Chongqing")</f>
        <v>Chongqing</v>
      </c>
      <c r="C3094" s="1" t="s">
        <v>2125</v>
      </c>
      <c r="D3094" s="1" t="str">
        <f>IFERROR(__xludf.DUMMYFUNCTION("GOOGLETRANSLATE(C3094, ""zh-CN"", ""en"")"),"Provincial and county -level administrative divisions directly under the jurisdiction")</f>
        <v>Provincial and county -level administrative divisions directly under the jurisdiction</v>
      </c>
      <c r="E3094" s="1" t="s">
        <v>2842</v>
      </c>
      <c r="F3094" s="1" t="str">
        <f>IFERROR(__xludf.DUMMYFUNCTION("GOOGLETRANSLATE(E3094, ""zh-CN"", ""en"")"),"Tunchang County")</f>
        <v>Tunchang County</v>
      </c>
      <c r="G3094" s="1">
        <v>4.69022E11</v>
      </c>
    </row>
    <row r="3095">
      <c r="A3095" s="1" t="s">
        <v>2821</v>
      </c>
      <c r="B3095" s="1" t="str">
        <f>IFERROR(__xludf.DUMMYFUNCTION("GOOGLETRANSLATE(A3021, ""zh-CN"", ""en"")"),"Chongqing")</f>
        <v>Chongqing</v>
      </c>
      <c r="C3095" s="1" t="s">
        <v>2125</v>
      </c>
      <c r="D3095" s="1" t="str">
        <f>IFERROR(__xludf.DUMMYFUNCTION("GOOGLETRANSLATE(C3095, ""zh-CN"", ""en"")"),"Provincial and county -level administrative divisions directly under the jurisdiction")</f>
        <v>Provincial and county -level administrative divisions directly under the jurisdiction</v>
      </c>
      <c r="E3095" s="1" t="s">
        <v>2843</v>
      </c>
      <c r="F3095" s="1" t="str">
        <f>IFERROR(__xludf.DUMMYFUNCTION("GOOGLETRANSLATE(E3095, ""zh-CN"", ""en"")"),"Chengmai County")</f>
        <v>Chengmai County</v>
      </c>
      <c r="G3095" s="1">
        <v>4.69023E11</v>
      </c>
    </row>
    <row r="3096">
      <c r="A3096" s="1" t="s">
        <v>2821</v>
      </c>
      <c r="B3096" s="1" t="str">
        <f>IFERROR(__xludf.DUMMYFUNCTION("GOOGLETRANSLATE(A3022, ""zh-CN"", ""en"")"),"Chongqing")</f>
        <v>Chongqing</v>
      </c>
      <c r="C3096" s="1" t="s">
        <v>2125</v>
      </c>
      <c r="D3096" s="1" t="str">
        <f>IFERROR(__xludf.DUMMYFUNCTION("GOOGLETRANSLATE(C3096, ""zh-CN"", ""en"")"),"Provincial and county -level administrative divisions directly under the jurisdiction")</f>
        <v>Provincial and county -level administrative divisions directly under the jurisdiction</v>
      </c>
      <c r="E3096" s="1" t="s">
        <v>2844</v>
      </c>
      <c r="F3096" s="1" t="str">
        <f>IFERROR(__xludf.DUMMYFUNCTION("GOOGLETRANSLATE(E3096, ""zh-CN"", ""en"")"),"Lingao County")</f>
        <v>Lingao County</v>
      </c>
      <c r="G3096" s="1">
        <v>4.69024E11</v>
      </c>
    </row>
    <row r="3097">
      <c r="A3097" s="1" t="s">
        <v>2821</v>
      </c>
      <c r="B3097" s="1" t="str">
        <f>IFERROR(__xludf.DUMMYFUNCTION("GOOGLETRANSLATE(A3023, ""zh-CN"", ""en"")"),"Chongqing")</f>
        <v>Chongqing</v>
      </c>
      <c r="C3097" s="1" t="s">
        <v>2125</v>
      </c>
      <c r="D3097" s="1" t="str">
        <f>IFERROR(__xludf.DUMMYFUNCTION("GOOGLETRANSLATE(C3097, ""zh-CN"", ""en"")"),"Provincial and county -level administrative divisions directly under the jurisdiction")</f>
        <v>Provincial and county -level administrative divisions directly under the jurisdiction</v>
      </c>
      <c r="E3097" s="1" t="s">
        <v>2845</v>
      </c>
      <c r="F3097" s="1" t="str">
        <f>IFERROR(__xludf.DUMMYFUNCTION("GOOGLETRANSLATE(E3097, ""zh-CN"", ""en"")"),"Baishali Autonomous County")</f>
        <v>Baishali Autonomous County</v>
      </c>
      <c r="G3097" s="1">
        <v>4.69025E11</v>
      </c>
    </row>
    <row r="3098">
      <c r="A3098" s="1" t="s">
        <v>2821</v>
      </c>
      <c r="B3098" s="1" t="str">
        <f>IFERROR(__xludf.DUMMYFUNCTION("GOOGLETRANSLATE(A3024, ""zh-CN"", ""en"")"),"Chongqing")</f>
        <v>Chongqing</v>
      </c>
      <c r="C3098" s="1" t="s">
        <v>2125</v>
      </c>
      <c r="D3098" s="1" t="str">
        <f>IFERROR(__xludf.DUMMYFUNCTION("GOOGLETRANSLATE(C3098, ""zh-CN"", ""en"")"),"Provincial and county -level administrative divisions directly under the jurisdiction")</f>
        <v>Provincial and county -level administrative divisions directly under the jurisdiction</v>
      </c>
      <c r="E3098" s="1" t="s">
        <v>2846</v>
      </c>
      <c r="F3098" s="1" t="str">
        <f>IFERROR(__xludf.DUMMYFUNCTION("GOOGLETRANSLATE(E3098, ""zh-CN"", ""en"")"),"Changjiang Li Autonomous County")</f>
        <v>Changjiang Li Autonomous County</v>
      </c>
      <c r="G3098" s="1">
        <v>4.69026E11</v>
      </c>
    </row>
    <row r="3099">
      <c r="A3099" s="1" t="s">
        <v>2821</v>
      </c>
      <c r="B3099" s="1" t="str">
        <f>IFERROR(__xludf.DUMMYFUNCTION("GOOGLETRANSLATE(A3025, ""zh-CN"", ""en"")"),"Chongqing")</f>
        <v>Chongqing</v>
      </c>
      <c r="C3099" s="1" t="s">
        <v>2125</v>
      </c>
      <c r="D3099" s="1" t="str">
        <f>IFERROR(__xludf.DUMMYFUNCTION("GOOGLETRANSLATE(C3099, ""zh-CN"", ""en"")"),"Provincial and county -level administrative divisions directly under the jurisdiction")</f>
        <v>Provincial and county -level administrative divisions directly under the jurisdiction</v>
      </c>
      <c r="E3099" s="1" t="s">
        <v>2847</v>
      </c>
      <c r="F3099" s="1" t="str">
        <f>IFERROR(__xludf.DUMMYFUNCTION("GOOGLETRANSLATE(E3099, ""zh-CN"", ""en"")"),"Ledongli Autonomous County")</f>
        <v>Ledongli Autonomous County</v>
      </c>
      <c r="G3099" s="1">
        <v>4.69027E11</v>
      </c>
    </row>
    <row r="3100">
      <c r="A3100" s="1" t="s">
        <v>2821</v>
      </c>
      <c r="B3100" s="1" t="str">
        <f>IFERROR(__xludf.DUMMYFUNCTION("GOOGLETRANSLATE(A3026, ""zh-CN"", ""en"")"),"Chongqing")</f>
        <v>Chongqing</v>
      </c>
      <c r="C3100" s="1" t="s">
        <v>2125</v>
      </c>
      <c r="D3100" s="1" t="str">
        <f>IFERROR(__xludf.DUMMYFUNCTION("GOOGLETRANSLATE(C3100, ""zh-CN"", ""en"")"),"Provincial and county -level administrative divisions directly under the jurisdiction")</f>
        <v>Provincial and county -level administrative divisions directly under the jurisdiction</v>
      </c>
      <c r="E3100" s="1" t="s">
        <v>2848</v>
      </c>
      <c r="F3100" s="1" t="str">
        <f>IFERROR(__xludf.DUMMYFUNCTION("GOOGLETRANSLATE(E3100, ""zh-CN"", ""en"")"),"Lingshui Li Autonomous County")</f>
        <v>Lingshui Li Autonomous County</v>
      </c>
      <c r="G3100" s="1">
        <v>4.69028E11</v>
      </c>
    </row>
    <row r="3101">
      <c r="A3101" s="1" t="s">
        <v>2821</v>
      </c>
      <c r="B3101" s="1" t="str">
        <f>IFERROR(__xludf.DUMMYFUNCTION("GOOGLETRANSLATE(A3027, ""zh-CN"", ""en"")"),"Chongqing")</f>
        <v>Chongqing</v>
      </c>
      <c r="C3101" s="1" t="s">
        <v>2125</v>
      </c>
      <c r="D3101" s="1" t="str">
        <f>IFERROR(__xludf.DUMMYFUNCTION("GOOGLETRANSLATE(C3101, ""zh-CN"", ""en"")"),"Provincial and county -level administrative divisions directly under the jurisdiction")</f>
        <v>Provincial and county -level administrative divisions directly under the jurisdiction</v>
      </c>
      <c r="E3101" s="1" t="s">
        <v>2849</v>
      </c>
      <c r="F3101" s="1" t="str">
        <f>IFERROR(__xludf.DUMMYFUNCTION("GOOGLETRANSLATE(E3101, ""zh-CN"", ""en"")"),"Baoting Li Miao Autonomous County")</f>
        <v>Baoting Li Miao Autonomous County</v>
      </c>
      <c r="G3101" s="1">
        <v>4.69029E11</v>
      </c>
    </row>
    <row r="3102">
      <c r="A3102" s="1" t="s">
        <v>2821</v>
      </c>
      <c r="B3102" s="1" t="str">
        <f>IFERROR(__xludf.DUMMYFUNCTION("GOOGLETRANSLATE(A3028, ""zh-CN"", ""en"")"),"Chongqing")</f>
        <v>Chongqing</v>
      </c>
      <c r="C3102" s="1" t="s">
        <v>2125</v>
      </c>
      <c r="D3102" s="1" t="str">
        <f>IFERROR(__xludf.DUMMYFUNCTION("GOOGLETRANSLATE(C3102, ""zh-CN"", ""en"")"),"Provincial and county -level administrative divisions directly under the jurisdiction")</f>
        <v>Provincial and county -level administrative divisions directly under the jurisdiction</v>
      </c>
      <c r="E3102" s="1" t="s">
        <v>2850</v>
      </c>
      <c r="F3102" s="1" t="str">
        <f>IFERROR(__xludf.DUMMYFUNCTION("GOOGLETRANSLATE(E3102, ""zh-CN"", ""en"")"),"Qiongzhongli Miao Autonomous County")</f>
        <v>Qiongzhongli Miao Autonomous County</v>
      </c>
      <c r="G3102" s="1">
        <v>4.6903E11</v>
      </c>
    </row>
    <row r="3103">
      <c r="A3103" s="1" t="s">
        <v>2851</v>
      </c>
      <c r="B3103" s="1" t="str">
        <f>IFERROR(__xludf.DUMMYFUNCTION("GOOGLETRANSLATE(A3029, ""zh-CN"", ""en"")"),"Chongqing")</f>
        <v>Chongqing</v>
      </c>
      <c r="C3103" s="1" t="s">
        <v>8</v>
      </c>
      <c r="D3103" s="1" t="str">
        <f>IFERROR(__xludf.DUMMYFUNCTION("GOOGLETRANSLATE(C3103, ""zh-CN"", ""en"")"),"Na")</f>
        <v>Na</v>
      </c>
      <c r="E3103" s="1" t="s">
        <v>8</v>
      </c>
      <c r="F3103" s="1" t="str">
        <f>IFERROR(__xludf.DUMMYFUNCTION("GOOGLETRANSLATE(E3103, ""zh-CN"", ""en"")"),"Na")</f>
        <v>Na</v>
      </c>
      <c r="G3103" s="1">
        <v>45.0</v>
      </c>
    </row>
    <row r="3104">
      <c r="A3104" s="1" t="s">
        <v>2851</v>
      </c>
      <c r="B3104" s="1" t="str">
        <f>IFERROR(__xludf.DUMMYFUNCTION("GOOGLETRANSLATE(A3030, ""zh-CN"", ""en"")"),"Chongqing")</f>
        <v>Chongqing</v>
      </c>
      <c r="C3104" s="1" t="s">
        <v>2852</v>
      </c>
      <c r="D3104" s="1" t="str">
        <f>IFERROR(__xludf.DUMMYFUNCTION("GOOGLETRANSLATE(C3104, ""zh-CN"", ""en"")"),"NanNing City")</f>
        <v>NanNing City</v>
      </c>
      <c r="E3104" s="1" t="s">
        <v>8</v>
      </c>
      <c r="F3104" s="1" t="str">
        <f>IFERROR(__xludf.DUMMYFUNCTION("GOOGLETRANSLATE(E3104, ""zh-CN"", ""en"")"),"Na")</f>
        <v>Na</v>
      </c>
      <c r="G3104" s="1">
        <v>4.501E11</v>
      </c>
    </row>
    <row r="3105">
      <c r="A3105" s="1" t="s">
        <v>2851</v>
      </c>
      <c r="B3105" s="1" t="str">
        <f>IFERROR(__xludf.DUMMYFUNCTION("GOOGLETRANSLATE(A3031, ""zh-CN"", ""en"")"),"Chongqing")</f>
        <v>Chongqing</v>
      </c>
      <c r="C3105" s="1" t="s">
        <v>2853</v>
      </c>
      <c r="D3105" s="1" t="str">
        <f>IFERROR(__xludf.DUMMYFUNCTION("GOOGLETRANSLATE(C3105, ""zh-CN"", ""en"")"),"Liuzhou")</f>
        <v>Liuzhou</v>
      </c>
      <c r="E3105" s="1" t="s">
        <v>8</v>
      </c>
      <c r="F3105" s="1" t="str">
        <f>IFERROR(__xludf.DUMMYFUNCTION("GOOGLETRANSLATE(E3105, ""zh-CN"", ""en"")"),"Na")</f>
        <v>Na</v>
      </c>
      <c r="G3105" s="1">
        <v>4.502E11</v>
      </c>
    </row>
    <row r="3106">
      <c r="A3106" s="1" t="s">
        <v>2851</v>
      </c>
      <c r="B3106" s="1" t="str">
        <f>IFERROR(__xludf.DUMMYFUNCTION("GOOGLETRANSLATE(A3032, ""zh-CN"", ""en"")"),"Chongqing")</f>
        <v>Chongqing</v>
      </c>
      <c r="C3106" s="1" t="s">
        <v>2854</v>
      </c>
      <c r="D3106" s="1" t="str">
        <f>IFERROR(__xludf.DUMMYFUNCTION("GOOGLETRANSLATE(C3106, ""zh-CN"", ""en"")"),"Guilin City")</f>
        <v>Guilin City</v>
      </c>
      <c r="E3106" s="1" t="s">
        <v>8</v>
      </c>
      <c r="F3106" s="1" t="str">
        <f>IFERROR(__xludf.DUMMYFUNCTION("GOOGLETRANSLATE(E3106, ""zh-CN"", ""en"")"),"Na")</f>
        <v>Na</v>
      </c>
      <c r="G3106" s="1">
        <v>4.503E11</v>
      </c>
    </row>
    <row r="3107">
      <c r="A3107" s="1" t="s">
        <v>2851</v>
      </c>
      <c r="B3107" s="1" t="str">
        <f>IFERROR(__xludf.DUMMYFUNCTION("GOOGLETRANSLATE(A3033, ""zh-CN"", ""en"")"),"Chongqing")</f>
        <v>Chongqing</v>
      </c>
      <c r="C3107" s="1" t="s">
        <v>2855</v>
      </c>
      <c r="D3107" s="1" t="str">
        <f>IFERROR(__xludf.DUMMYFUNCTION("GOOGLETRANSLATE(C3107, ""zh-CN"", ""en"")"),"Wuzhou")</f>
        <v>Wuzhou</v>
      </c>
      <c r="E3107" s="1" t="s">
        <v>8</v>
      </c>
      <c r="F3107" s="1" t="str">
        <f>IFERROR(__xludf.DUMMYFUNCTION("GOOGLETRANSLATE(E3107, ""zh-CN"", ""en"")"),"Na")</f>
        <v>Na</v>
      </c>
      <c r="G3107" s="1">
        <v>4.504E11</v>
      </c>
    </row>
    <row r="3108">
      <c r="A3108" s="1" t="s">
        <v>2851</v>
      </c>
      <c r="B3108" s="1" t="str">
        <f>IFERROR(__xludf.DUMMYFUNCTION("GOOGLETRANSLATE(A3034, ""zh-CN"", ""en"")"),"Chongqing")</f>
        <v>Chongqing</v>
      </c>
      <c r="C3108" s="1" t="s">
        <v>2856</v>
      </c>
      <c r="D3108" s="1" t="str">
        <f>IFERROR(__xludf.DUMMYFUNCTION("GOOGLETRANSLATE(C3108, ""zh-CN"", ""en"")"),"Beihai City")</f>
        <v>Beihai City</v>
      </c>
      <c r="E3108" s="1" t="s">
        <v>8</v>
      </c>
      <c r="F3108" s="1" t="str">
        <f>IFERROR(__xludf.DUMMYFUNCTION("GOOGLETRANSLATE(E3108, ""zh-CN"", ""en"")"),"Na")</f>
        <v>Na</v>
      </c>
      <c r="G3108" s="1">
        <v>4.505E11</v>
      </c>
    </row>
    <row r="3109">
      <c r="A3109" s="1" t="s">
        <v>2851</v>
      </c>
      <c r="B3109" s="1" t="str">
        <f>IFERROR(__xludf.DUMMYFUNCTION("GOOGLETRANSLATE(A3035, ""zh-CN"", ""en"")"),"Chongqing")</f>
        <v>Chongqing</v>
      </c>
      <c r="C3109" s="1" t="s">
        <v>2857</v>
      </c>
      <c r="D3109" s="1" t="str">
        <f>IFERROR(__xludf.DUMMYFUNCTION("GOOGLETRANSLATE(C3109, ""zh-CN"", ""en"")"),"Fangchenggang City")</f>
        <v>Fangchenggang City</v>
      </c>
      <c r="E3109" s="1" t="s">
        <v>8</v>
      </c>
      <c r="F3109" s="1" t="str">
        <f>IFERROR(__xludf.DUMMYFUNCTION("GOOGLETRANSLATE(E3109, ""zh-CN"", ""en"")"),"Na")</f>
        <v>Na</v>
      </c>
      <c r="G3109" s="1">
        <v>4.506E11</v>
      </c>
    </row>
    <row r="3110">
      <c r="A3110" s="1" t="s">
        <v>2851</v>
      </c>
      <c r="B3110" s="1" t="str">
        <f>IFERROR(__xludf.DUMMYFUNCTION("GOOGLETRANSLATE(A3036, ""zh-CN"", ""en"")"),"Chongqing")</f>
        <v>Chongqing</v>
      </c>
      <c r="C3110" s="1" t="s">
        <v>2858</v>
      </c>
      <c r="D3110" s="1" t="str">
        <f>IFERROR(__xludf.DUMMYFUNCTION("GOOGLETRANSLATE(C3110, ""zh-CN"", ""en"")"),"Qinzhou")</f>
        <v>Qinzhou</v>
      </c>
      <c r="E3110" s="1" t="s">
        <v>8</v>
      </c>
      <c r="F3110" s="1" t="str">
        <f>IFERROR(__xludf.DUMMYFUNCTION("GOOGLETRANSLATE(E3110, ""zh-CN"", ""en"")"),"Na")</f>
        <v>Na</v>
      </c>
      <c r="G3110" s="1">
        <v>4.507E11</v>
      </c>
    </row>
    <row r="3111">
      <c r="A3111" s="1" t="s">
        <v>2851</v>
      </c>
      <c r="B3111" s="1" t="str">
        <f>IFERROR(__xludf.DUMMYFUNCTION("GOOGLETRANSLATE(A3037, ""zh-CN"", ""en"")"),"Chongqing")</f>
        <v>Chongqing</v>
      </c>
      <c r="C3111" s="1" t="s">
        <v>2859</v>
      </c>
      <c r="D3111" s="1" t="str">
        <f>IFERROR(__xludf.DUMMYFUNCTION("GOOGLETRANSLATE(C3111, ""zh-CN"", ""en"")"),"Guigang")</f>
        <v>Guigang</v>
      </c>
      <c r="E3111" s="1" t="s">
        <v>8</v>
      </c>
      <c r="F3111" s="1" t="str">
        <f>IFERROR(__xludf.DUMMYFUNCTION("GOOGLETRANSLATE(E3111, ""zh-CN"", ""en"")"),"Na")</f>
        <v>Na</v>
      </c>
      <c r="G3111" s="1">
        <v>4.508E11</v>
      </c>
    </row>
    <row r="3112">
      <c r="A3112" s="1" t="s">
        <v>2851</v>
      </c>
      <c r="B3112" s="1" t="str">
        <f>IFERROR(__xludf.DUMMYFUNCTION("GOOGLETRANSLATE(A3038, ""zh-CN"", ""en"")"),"Chongqing")</f>
        <v>Chongqing</v>
      </c>
      <c r="C3112" s="1" t="s">
        <v>2860</v>
      </c>
      <c r="D3112" s="1" t="str">
        <f>IFERROR(__xludf.DUMMYFUNCTION("GOOGLETRANSLATE(C3112, ""zh-CN"", ""en"")"),"Yulin City")</f>
        <v>Yulin City</v>
      </c>
      <c r="E3112" s="1" t="s">
        <v>8</v>
      </c>
      <c r="F3112" s="1" t="str">
        <f>IFERROR(__xludf.DUMMYFUNCTION("GOOGLETRANSLATE(E3112, ""zh-CN"", ""en"")"),"Na")</f>
        <v>Na</v>
      </c>
      <c r="G3112" s="1">
        <v>4.509E11</v>
      </c>
    </row>
    <row r="3113">
      <c r="A3113" s="1" t="s">
        <v>2851</v>
      </c>
      <c r="B3113" s="1" t="str">
        <f>IFERROR(__xludf.DUMMYFUNCTION("GOOGLETRANSLATE(A3039, ""zh-CN"", ""en"")"),"Chongqing")</f>
        <v>Chongqing</v>
      </c>
      <c r="C3113" s="1" t="s">
        <v>2861</v>
      </c>
      <c r="D3113" s="1" t="str">
        <f>IFERROR(__xludf.DUMMYFUNCTION("GOOGLETRANSLATE(C3113, ""zh-CN"", ""en"")"),"Best City")</f>
        <v>Best City</v>
      </c>
      <c r="E3113" s="1" t="s">
        <v>8</v>
      </c>
      <c r="F3113" s="1" t="str">
        <f>IFERROR(__xludf.DUMMYFUNCTION("GOOGLETRANSLATE(E3113, ""zh-CN"", ""en"")"),"Na")</f>
        <v>Na</v>
      </c>
      <c r="G3113" s="1">
        <v>4.51E11</v>
      </c>
    </row>
    <row r="3114">
      <c r="A3114" s="1" t="s">
        <v>2851</v>
      </c>
      <c r="B3114" s="1" t="str">
        <f>IFERROR(__xludf.DUMMYFUNCTION("GOOGLETRANSLATE(A3040, ""zh-CN"", ""en"")"),"Chongqing")</f>
        <v>Chongqing</v>
      </c>
      <c r="C3114" s="1" t="s">
        <v>2862</v>
      </c>
      <c r="D3114" s="1" t="str">
        <f>IFERROR(__xludf.DUMMYFUNCTION("GOOGLETRANSLATE(C3114, ""zh-CN"", ""en"")"),"Hezhou")</f>
        <v>Hezhou</v>
      </c>
      <c r="E3114" s="1" t="s">
        <v>8</v>
      </c>
      <c r="F3114" s="1" t="str">
        <f>IFERROR(__xludf.DUMMYFUNCTION("GOOGLETRANSLATE(E3114, ""zh-CN"", ""en"")"),"Na")</f>
        <v>Na</v>
      </c>
      <c r="G3114" s="1">
        <v>4.511E11</v>
      </c>
    </row>
    <row r="3115">
      <c r="A3115" s="1" t="s">
        <v>2851</v>
      </c>
      <c r="B3115" s="1" t="str">
        <f>IFERROR(__xludf.DUMMYFUNCTION("GOOGLETRANSLATE(A3041, ""zh-CN"", ""en"")"),"Chongqing")</f>
        <v>Chongqing</v>
      </c>
      <c r="C3115" s="1" t="s">
        <v>2863</v>
      </c>
      <c r="D3115" s="1" t="str">
        <f>IFERROR(__xludf.DUMMYFUNCTION("GOOGLETRANSLATE(C3115, ""zh-CN"", ""en"")"),"Hechi City")</f>
        <v>Hechi City</v>
      </c>
      <c r="E3115" s="1" t="s">
        <v>8</v>
      </c>
      <c r="F3115" s="1" t="str">
        <f>IFERROR(__xludf.DUMMYFUNCTION("GOOGLETRANSLATE(E3115, ""zh-CN"", ""en"")"),"Na")</f>
        <v>Na</v>
      </c>
      <c r="G3115" s="1">
        <v>4.512E11</v>
      </c>
    </row>
    <row r="3116">
      <c r="A3116" s="1" t="s">
        <v>2851</v>
      </c>
      <c r="B3116" s="1" t="str">
        <f>IFERROR(__xludf.DUMMYFUNCTION("GOOGLETRANSLATE(A3042, ""zh-CN"", ""en"")"),"Chongqing")</f>
        <v>Chongqing</v>
      </c>
      <c r="C3116" s="1" t="s">
        <v>2864</v>
      </c>
      <c r="D3116" s="1" t="str">
        <f>IFERROR(__xludf.DUMMYFUNCTION("GOOGLETRANSLATE(C3116, ""zh-CN"", ""en"")"),"Guest city")</f>
        <v>Guest city</v>
      </c>
      <c r="E3116" s="1" t="s">
        <v>8</v>
      </c>
      <c r="F3116" s="1" t="str">
        <f>IFERROR(__xludf.DUMMYFUNCTION("GOOGLETRANSLATE(E3116, ""zh-CN"", ""en"")"),"Na")</f>
        <v>Na</v>
      </c>
      <c r="G3116" s="1">
        <v>4.513E11</v>
      </c>
    </row>
    <row r="3117">
      <c r="A3117" s="1" t="s">
        <v>2851</v>
      </c>
      <c r="B3117" s="1" t="str">
        <f>IFERROR(__xludf.DUMMYFUNCTION("GOOGLETRANSLATE(A3043, ""zh-CN"", ""en"")"),"Chongqing")</f>
        <v>Chongqing</v>
      </c>
      <c r="C3117" s="1" t="s">
        <v>2865</v>
      </c>
      <c r="D3117" s="1" t="str">
        <f>IFERROR(__xludf.DUMMYFUNCTION("GOOGLETRANSLATE(C3117, ""zh-CN"", ""en"")"),"Chongzuo City")</f>
        <v>Chongzuo City</v>
      </c>
      <c r="E3117" s="1" t="s">
        <v>8</v>
      </c>
      <c r="F3117" s="1" t="str">
        <f>IFERROR(__xludf.DUMMYFUNCTION("GOOGLETRANSLATE(E3117, ""zh-CN"", ""en"")"),"Na")</f>
        <v>Na</v>
      </c>
      <c r="G3117" s="1">
        <v>4.514E11</v>
      </c>
    </row>
    <row r="3118">
      <c r="A3118" s="1" t="s">
        <v>2851</v>
      </c>
      <c r="B3118" s="1" t="str">
        <f>IFERROR(__xludf.DUMMYFUNCTION("GOOGLETRANSLATE(A3044, ""zh-CN"", ""en"")"),"Chongqing")</f>
        <v>Chongqing</v>
      </c>
      <c r="C3118" s="1" t="s">
        <v>2852</v>
      </c>
      <c r="D3118" s="1" t="str">
        <f>IFERROR(__xludf.DUMMYFUNCTION("GOOGLETRANSLATE(C3118, ""zh-CN"", ""en"")"),"NanNing City")</f>
        <v>NanNing City</v>
      </c>
      <c r="E3118" s="1" t="s">
        <v>24</v>
      </c>
      <c r="F3118" s="1" t="str">
        <f>IFERROR(__xludf.DUMMYFUNCTION("GOOGLETRANSLATE(E3118, ""zh-CN"", ""en"")"),"City area")</f>
        <v>City area</v>
      </c>
      <c r="G3118" s="1">
        <v>4.50101E11</v>
      </c>
    </row>
    <row r="3119">
      <c r="A3119" s="1" t="s">
        <v>2851</v>
      </c>
      <c r="B3119" s="1" t="str">
        <f>IFERROR(__xludf.DUMMYFUNCTION("GOOGLETRANSLATE(A3045, ""zh-CN"", ""en"")"),"Chongqing")</f>
        <v>Chongqing</v>
      </c>
      <c r="C3119" s="1" t="s">
        <v>2852</v>
      </c>
      <c r="D3119" s="1" t="str">
        <f>IFERROR(__xludf.DUMMYFUNCTION("GOOGLETRANSLATE(C3119, ""zh-CN"", ""en"")"),"NanNing City")</f>
        <v>NanNing City</v>
      </c>
      <c r="E3119" s="1" t="s">
        <v>2866</v>
      </c>
      <c r="F3119" s="1" t="str">
        <f>IFERROR(__xludf.DUMMYFUNCTION("GOOGLETRANSLATE(E3119, ""zh-CN"", ""en"")"),"Xingning District")</f>
        <v>Xingning District</v>
      </c>
      <c r="G3119" s="1">
        <v>4.50102E11</v>
      </c>
    </row>
    <row r="3120">
      <c r="A3120" s="1" t="s">
        <v>2851</v>
      </c>
      <c r="B3120" s="1" t="str">
        <f>IFERROR(__xludf.DUMMYFUNCTION("GOOGLETRANSLATE(A3046, ""zh-CN"", ""en"")"),"Chongqing")</f>
        <v>Chongqing</v>
      </c>
      <c r="C3120" s="1" t="s">
        <v>2852</v>
      </c>
      <c r="D3120" s="1" t="str">
        <f>IFERROR(__xludf.DUMMYFUNCTION("GOOGLETRANSLATE(C3120, ""zh-CN"", ""en"")"),"NanNing City")</f>
        <v>NanNing City</v>
      </c>
      <c r="E3120" s="1" t="s">
        <v>2867</v>
      </c>
      <c r="F3120" s="1" t="str">
        <f>IFERROR(__xludf.DUMMYFUNCTION("GOOGLETRANSLATE(E3120, ""zh-CN"", ""en"")"),"Qingxiu District")</f>
        <v>Qingxiu District</v>
      </c>
      <c r="G3120" s="1">
        <v>4.50103E11</v>
      </c>
    </row>
    <row r="3121">
      <c r="A3121" s="1" t="s">
        <v>2851</v>
      </c>
      <c r="B3121" s="1" t="str">
        <f>IFERROR(__xludf.DUMMYFUNCTION("GOOGLETRANSLATE(A3047, ""zh-CN"", ""en"")"),"Chongqing")</f>
        <v>Chongqing</v>
      </c>
      <c r="C3121" s="1" t="s">
        <v>2852</v>
      </c>
      <c r="D3121" s="1" t="str">
        <f>IFERROR(__xludf.DUMMYFUNCTION("GOOGLETRANSLATE(C3121, ""zh-CN"", ""en"")"),"NanNing City")</f>
        <v>NanNing City</v>
      </c>
      <c r="E3121" s="1" t="s">
        <v>2868</v>
      </c>
      <c r="F3121" s="1" t="str">
        <f>IFERROR(__xludf.DUMMYFUNCTION("GOOGLETRANSLATE(E3121, ""zh-CN"", ""en"")"),"Jiangnan District")</f>
        <v>Jiangnan District</v>
      </c>
      <c r="G3121" s="1">
        <v>4.50105E11</v>
      </c>
    </row>
    <row r="3122">
      <c r="A3122" s="1" t="s">
        <v>2851</v>
      </c>
      <c r="B3122" s="1" t="str">
        <f>IFERROR(__xludf.DUMMYFUNCTION("GOOGLETRANSLATE(A3048, ""zh-CN"", ""en"")"),"Chongqing")</f>
        <v>Chongqing</v>
      </c>
      <c r="C3122" s="1" t="s">
        <v>2852</v>
      </c>
      <c r="D3122" s="1" t="str">
        <f>IFERROR(__xludf.DUMMYFUNCTION("GOOGLETRANSLATE(C3122, ""zh-CN"", ""en"")"),"NanNing City")</f>
        <v>NanNing City</v>
      </c>
      <c r="E3122" s="1" t="s">
        <v>2869</v>
      </c>
      <c r="F3122" s="1" t="str">
        <f>IFERROR(__xludf.DUMMYFUNCTION("GOOGLETRANSLATE(E3122, ""zh-CN"", ""en"")"),"Xixiangtang District")</f>
        <v>Xixiangtang District</v>
      </c>
      <c r="G3122" s="1">
        <v>4.50107E11</v>
      </c>
    </row>
    <row r="3123">
      <c r="A3123" s="1" t="s">
        <v>2851</v>
      </c>
      <c r="B3123" s="1" t="str">
        <f>IFERROR(__xludf.DUMMYFUNCTION("GOOGLETRANSLATE(A3049, ""zh-CN"", ""en"")"),"Chongqing")</f>
        <v>Chongqing</v>
      </c>
      <c r="C3123" s="1" t="s">
        <v>2852</v>
      </c>
      <c r="D3123" s="1" t="str">
        <f>IFERROR(__xludf.DUMMYFUNCTION("GOOGLETRANSLATE(C3123, ""zh-CN"", ""en"")"),"NanNing City")</f>
        <v>NanNing City</v>
      </c>
      <c r="E3123" s="1" t="s">
        <v>2870</v>
      </c>
      <c r="F3123" s="1" t="str">
        <f>IFERROR(__xludf.DUMMYFUNCTION("GOOGLETRANSLATE(E3123, ""zh-CN"", ""en"")"),"Liangqing District")</f>
        <v>Liangqing District</v>
      </c>
      <c r="G3123" s="1">
        <v>4.50108E11</v>
      </c>
    </row>
    <row r="3124">
      <c r="A3124" s="1" t="s">
        <v>2851</v>
      </c>
      <c r="B3124" s="1" t="str">
        <f>IFERROR(__xludf.DUMMYFUNCTION("GOOGLETRANSLATE(A3050, ""zh-CN"", ""en"")"),"Chongqing")</f>
        <v>Chongqing</v>
      </c>
      <c r="C3124" s="1" t="s">
        <v>2852</v>
      </c>
      <c r="D3124" s="1" t="str">
        <f>IFERROR(__xludf.DUMMYFUNCTION("GOOGLETRANSLATE(C3124, ""zh-CN"", ""en"")"),"NanNing City")</f>
        <v>NanNing City</v>
      </c>
      <c r="E3124" s="1" t="s">
        <v>2871</v>
      </c>
      <c r="F3124" s="1" t="str">
        <f>IFERROR(__xludf.DUMMYFUNCTION("GOOGLETRANSLATE(E3124, ""zh-CN"", ""en"")"),"Yongning District")</f>
        <v>Yongning District</v>
      </c>
      <c r="G3124" s="1">
        <v>4.50109E11</v>
      </c>
    </row>
    <row r="3125">
      <c r="A3125" s="1" t="s">
        <v>2851</v>
      </c>
      <c r="B3125" s="1" t="str">
        <f>IFERROR(__xludf.DUMMYFUNCTION("GOOGLETRANSLATE(A3051, ""zh-CN"", ""en"")"),"Tianjin")</f>
        <v>Tianjin</v>
      </c>
      <c r="C3125" s="1" t="s">
        <v>2852</v>
      </c>
      <c r="D3125" s="1" t="str">
        <f>IFERROR(__xludf.DUMMYFUNCTION("GOOGLETRANSLATE(C3125, ""zh-CN"", ""en"")"),"NanNing City")</f>
        <v>NanNing City</v>
      </c>
      <c r="E3125" s="1" t="s">
        <v>2872</v>
      </c>
      <c r="F3125" s="1" t="str">
        <f>IFERROR(__xludf.DUMMYFUNCTION("GOOGLETRANSLATE(E3125, ""zh-CN"", ""en"")"),"Wuming District")</f>
        <v>Wuming District</v>
      </c>
      <c r="G3125" s="1">
        <v>4.5011E11</v>
      </c>
    </row>
    <row r="3126">
      <c r="A3126" s="1" t="s">
        <v>2851</v>
      </c>
      <c r="B3126" s="1" t="str">
        <f>IFERROR(__xludf.DUMMYFUNCTION("GOOGLETRANSLATE(A3052, ""zh-CN"", ""en"")"),"Tianjin")</f>
        <v>Tianjin</v>
      </c>
      <c r="C3126" s="1" t="s">
        <v>2852</v>
      </c>
      <c r="D3126" s="1" t="str">
        <f>IFERROR(__xludf.DUMMYFUNCTION("GOOGLETRANSLATE(C3126, ""zh-CN"", ""en"")"),"NanNing City")</f>
        <v>NanNing City</v>
      </c>
      <c r="E3126" s="1" t="s">
        <v>2873</v>
      </c>
      <c r="F3126" s="1" t="str">
        <f>IFERROR(__xludf.DUMMYFUNCTION("GOOGLETRANSLATE(E3126, ""zh-CN"", ""en"")"),"Longan County")</f>
        <v>Longan County</v>
      </c>
      <c r="G3126" s="1">
        <v>4.50123E11</v>
      </c>
    </row>
    <row r="3127">
      <c r="A3127" s="1" t="s">
        <v>2851</v>
      </c>
      <c r="B3127" s="1" t="str">
        <f>IFERROR(__xludf.DUMMYFUNCTION("GOOGLETRANSLATE(A3053, ""zh-CN"", ""en"")"),"Tianjin")</f>
        <v>Tianjin</v>
      </c>
      <c r="C3127" s="1" t="s">
        <v>2852</v>
      </c>
      <c r="D3127" s="1" t="str">
        <f>IFERROR(__xludf.DUMMYFUNCTION("GOOGLETRANSLATE(C3127, ""zh-CN"", ""en"")"),"NanNing City")</f>
        <v>NanNing City</v>
      </c>
      <c r="E3127" s="1" t="s">
        <v>2874</v>
      </c>
      <c r="F3127" s="1" t="str">
        <f>IFERROR(__xludf.DUMMYFUNCTION("GOOGLETRANSLATE(E3127, ""zh-CN"", ""en"")"),"Mashan County")</f>
        <v>Mashan County</v>
      </c>
      <c r="G3127" s="1">
        <v>4.50124E11</v>
      </c>
    </row>
    <row r="3128">
      <c r="A3128" s="1" t="s">
        <v>2851</v>
      </c>
      <c r="B3128" s="1" t="str">
        <f>IFERROR(__xludf.DUMMYFUNCTION("GOOGLETRANSLATE(A3054, ""zh-CN"", ""en"")"),"Tianjin")</f>
        <v>Tianjin</v>
      </c>
      <c r="C3128" s="1" t="s">
        <v>2852</v>
      </c>
      <c r="D3128" s="1" t="str">
        <f>IFERROR(__xludf.DUMMYFUNCTION("GOOGLETRANSLATE(C3128, ""zh-CN"", ""en"")"),"NanNing City")</f>
        <v>NanNing City</v>
      </c>
      <c r="E3128" s="1" t="s">
        <v>2875</v>
      </c>
      <c r="F3128" s="1" t="str">
        <f>IFERROR(__xludf.DUMMYFUNCTION("GOOGLETRANSLATE(E3128, ""zh-CN"", ""en"")"),"Shanglin County")</f>
        <v>Shanglin County</v>
      </c>
      <c r="G3128" s="1">
        <v>4.50125E11</v>
      </c>
    </row>
    <row r="3129">
      <c r="A3129" s="1" t="s">
        <v>2851</v>
      </c>
      <c r="B3129" s="1" t="str">
        <f>IFERROR(__xludf.DUMMYFUNCTION("GOOGLETRANSLATE(A3055, ""zh-CN"", ""en"")"),"Tianjin")</f>
        <v>Tianjin</v>
      </c>
      <c r="C3129" s="1" t="s">
        <v>2852</v>
      </c>
      <c r="D3129" s="1" t="str">
        <f>IFERROR(__xludf.DUMMYFUNCTION("GOOGLETRANSLATE(C3129, ""zh-CN"", ""en"")"),"NanNing City")</f>
        <v>NanNing City</v>
      </c>
      <c r="E3129" s="1" t="s">
        <v>2876</v>
      </c>
      <c r="F3129" s="1" t="str">
        <f>IFERROR(__xludf.DUMMYFUNCTION("GOOGLETRANSLATE(E3129, ""zh-CN"", ""en"")"),"Binyang County")</f>
        <v>Binyang County</v>
      </c>
      <c r="G3129" s="1">
        <v>4.50126E11</v>
      </c>
    </row>
    <row r="3130">
      <c r="A3130" s="1" t="s">
        <v>2851</v>
      </c>
      <c r="B3130" s="1" t="str">
        <f>IFERROR(__xludf.DUMMYFUNCTION("GOOGLETRANSLATE(A3056, ""zh-CN"", ""en"")"),"Tianjin")</f>
        <v>Tianjin</v>
      </c>
      <c r="C3130" s="1" t="s">
        <v>2852</v>
      </c>
      <c r="D3130" s="1" t="str">
        <f>IFERROR(__xludf.DUMMYFUNCTION("GOOGLETRANSLATE(C3130, ""zh-CN"", ""en"")"),"NanNing City")</f>
        <v>NanNing City</v>
      </c>
      <c r="E3130" s="1" t="s">
        <v>2877</v>
      </c>
      <c r="F3130" s="1" t="str">
        <f>IFERROR(__xludf.DUMMYFUNCTION("GOOGLETRANSLATE(E3130, ""zh-CN"", ""en"")"),"Hengzhou")</f>
        <v>Hengzhou</v>
      </c>
      <c r="G3130" s="1">
        <v>4.50181E11</v>
      </c>
    </row>
    <row r="3131">
      <c r="A3131" s="1" t="s">
        <v>2851</v>
      </c>
      <c r="B3131" s="1" t="str">
        <f>IFERROR(__xludf.DUMMYFUNCTION("GOOGLETRANSLATE(A3057, ""zh-CN"", ""en"")"),"Tianjin")</f>
        <v>Tianjin</v>
      </c>
      <c r="C3131" s="1" t="s">
        <v>2853</v>
      </c>
      <c r="D3131" s="1" t="str">
        <f>IFERROR(__xludf.DUMMYFUNCTION("GOOGLETRANSLATE(C3131, ""zh-CN"", ""en"")"),"Liuzhou")</f>
        <v>Liuzhou</v>
      </c>
      <c r="E3131" s="1" t="s">
        <v>24</v>
      </c>
      <c r="F3131" s="1" t="str">
        <f>IFERROR(__xludf.DUMMYFUNCTION("GOOGLETRANSLATE(E3131, ""zh-CN"", ""en"")"),"City area")</f>
        <v>City area</v>
      </c>
      <c r="G3131" s="1">
        <v>4.50201E11</v>
      </c>
    </row>
    <row r="3132">
      <c r="A3132" s="1" t="s">
        <v>2851</v>
      </c>
      <c r="B3132" s="1" t="str">
        <f>IFERROR(__xludf.DUMMYFUNCTION("GOOGLETRANSLATE(A3058, ""zh-CN"", ""en"")"),"Tianjin")</f>
        <v>Tianjin</v>
      </c>
      <c r="C3132" s="1" t="s">
        <v>2853</v>
      </c>
      <c r="D3132" s="1" t="str">
        <f>IFERROR(__xludf.DUMMYFUNCTION("GOOGLETRANSLATE(C3132, ""zh-CN"", ""en"")"),"Liuzhou")</f>
        <v>Liuzhou</v>
      </c>
      <c r="E3132" s="1" t="s">
        <v>276</v>
      </c>
      <c r="F3132" s="1" t="str">
        <f>IFERROR(__xludf.DUMMYFUNCTION("GOOGLETRANSLATE(E3132, ""zh-CN"", ""en"")"),"District")</f>
        <v>District</v>
      </c>
      <c r="G3132" s="1">
        <v>4.50202E11</v>
      </c>
    </row>
    <row r="3133">
      <c r="A3133" s="1" t="s">
        <v>2851</v>
      </c>
      <c r="B3133" s="1" t="str">
        <f>IFERROR(__xludf.DUMMYFUNCTION("GOOGLETRANSLATE(A3059, ""zh-CN"", ""en"")"),"Tianjin")</f>
        <v>Tianjin</v>
      </c>
      <c r="C3133" s="1" t="s">
        <v>2853</v>
      </c>
      <c r="D3133" s="1" t="str">
        <f>IFERROR(__xludf.DUMMYFUNCTION("GOOGLETRANSLATE(C3133, ""zh-CN"", ""en"")"),"Liuzhou")</f>
        <v>Liuzhou</v>
      </c>
      <c r="E3133" s="1" t="s">
        <v>2878</v>
      </c>
      <c r="F3133" s="1" t="str">
        <f>IFERROR(__xludf.DUMMYFUNCTION("GOOGLETRANSLATE(E3133, ""zh-CN"", ""en"")"),"Yufeng District")</f>
        <v>Yufeng District</v>
      </c>
      <c r="G3133" s="1">
        <v>4.50203E11</v>
      </c>
    </row>
    <row r="3134">
      <c r="A3134" s="1" t="s">
        <v>2851</v>
      </c>
      <c r="B3134" s="1" t="str">
        <f>IFERROR(__xludf.DUMMYFUNCTION("GOOGLETRANSLATE(A3060, ""zh-CN"", ""en"")"),"Tianjin")</f>
        <v>Tianjin</v>
      </c>
      <c r="C3134" s="1" t="s">
        <v>2853</v>
      </c>
      <c r="D3134" s="1" t="str">
        <f>IFERROR(__xludf.DUMMYFUNCTION("GOOGLETRANSLATE(C3134, ""zh-CN"", ""en"")"),"Liuzhou")</f>
        <v>Liuzhou</v>
      </c>
      <c r="E3134" s="1" t="s">
        <v>2879</v>
      </c>
      <c r="F3134" s="1" t="str">
        <f>IFERROR(__xludf.DUMMYFUNCTION("GOOGLETRANSLATE(E3134, ""zh-CN"", ""en"")"),"Liunan District")</f>
        <v>Liunan District</v>
      </c>
      <c r="G3134" s="1">
        <v>4.50204E11</v>
      </c>
    </row>
    <row r="3135">
      <c r="A3135" s="1" t="s">
        <v>2851</v>
      </c>
      <c r="B3135" s="1" t="str">
        <f>IFERROR(__xludf.DUMMYFUNCTION("GOOGLETRANSLATE(A3061, ""zh-CN"", ""en"")"),"Tianjin")</f>
        <v>Tianjin</v>
      </c>
      <c r="C3135" s="1" t="s">
        <v>2853</v>
      </c>
      <c r="D3135" s="1" t="str">
        <f>IFERROR(__xludf.DUMMYFUNCTION("GOOGLETRANSLATE(C3135, ""zh-CN"", ""en"")"),"Liuzhou")</f>
        <v>Liuzhou</v>
      </c>
      <c r="E3135" s="1" t="s">
        <v>2880</v>
      </c>
      <c r="F3135" s="1" t="str">
        <f>IFERROR(__xludf.DUMMYFUNCTION("GOOGLETRANSLATE(E3135, ""zh-CN"", ""en"")"),"Liubei District")</f>
        <v>Liubei District</v>
      </c>
      <c r="G3135" s="1">
        <v>4.50205E11</v>
      </c>
    </row>
    <row r="3136">
      <c r="A3136" s="1" t="s">
        <v>2851</v>
      </c>
      <c r="B3136" s="1" t="str">
        <f>IFERROR(__xludf.DUMMYFUNCTION("GOOGLETRANSLATE(A3062, ""zh-CN"", ""en"")"),"Tianjin")</f>
        <v>Tianjin</v>
      </c>
      <c r="C3136" s="1" t="s">
        <v>2853</v>
      </c>
      <c r="D3136" s="1" t="str">
        <f>IFERROR(__xludf.DUMMYFUNCTION("GOOGLETRANSLATE(C3136, ""zh-CN"", ""en"")"),"Liuzhou")</f>
        <v>Liuzhou</v>
      </c>
      <c r="E3136" s="1" t="s">
        <v>2881</v>
      </c>
      <c r="F3136" s="1" t="str">
        <f>IFERROR(__xludf.DUMMYFUNCTION("GOOGLETRANSLATE(E3136, ""zh-CN"", ""en"")"),"Liujiang District")</f>
        <v>Liujiang District</v>
      </c>
      <c r="G3136" s="1">
        <v>4.50206E11</v>
      </c>
    </row>
    <row r="3137">
      <c r="A3137" s="1" t="s">
        <v>2851</v>
      </c>
      <c r="B3137" s="1" t="str">
        <f>IFERROR(__xludf.DUMMYFUNCTION("GOOGLETRANSLATE(A3063, ""zh-CN"", ""en"")"),"Tianjin")</f>
        <v>Tianjin</v>
      </c>
      <c r="C3137" s="1" t="s">
        <v>2853</v>
      </c>
      <c r="D3137" s="1" t="str">
        <f>IFERROR(__xludf.DUMMYFUNCTION("GOOGLETRANSLATE(C3137, ""zh-CN"", ""en"")"),"Liuzhou")</f>
        <v>Liuzhou</v>
      </c>
      <c r="E3137" s="1" t="s">
        <v>2882</v>
      </c>
      <c r="F3137" s="1" t="str">
        <f>IFERROR(__xludf.DUMMYFUNCTION("GOOGLETRANSLATE(E3137, ""zh-CN"", ""en"")"),"Liucheng County")</f>
        <v>Liucheng County</v>
      </c>
      <c r="G3137" s="1">
        <v>4.50222E11</v>
      </c>
    </row>
    <row r="3138">
      <c r="A3138" s="1" t="s">
        <v>2851</v>
      </c>
      <c r="B3138" s="1" t="str">
        <f>IFERROR(__xludf.DUMMYFUNCTION("GOOGLETRANSLATE(A3064, ""zh-CN"", ""en"")"),"Tianjin")</f>
        <v>Tianjin</v>
      </c>
      <c r="C3138" s="1" t="s">
        <v>2853</v>
      </c>
      <c r="D3138" s="1" t="str">
        <f>IFERROR(__xludf.DUMMYFUNCTION("GOOGLETRANSLATE(C3138, ""zh-CN"", ""en"")"),"Liuzhou")</f>
        <v>Liuzhou</v>
      </c>
      <c r="E3138" s="1" t="s">
        <v>2883</v>
      </c>
      <c r="F3138" s="1" t="str">
        <f>IFERROR(__xludf.DUMMYFUNCTION("GOOGLETRANSLATE(E3138, ""zh-CN"", ""en"")"),"Luzhai County")</f>
        <v>Luzhai County</v>
      </c>
      <c r="G3138" s="1">
        <v>4.50223E11</v>
      </c>
    </row>
    <row r="3139">
      <c r="A3139" s="1" t="s">
        <v>2851</v>
      </c>
      <c r="B3139" s="1" t="str">
        <f>IFERROR(__xludf.DUMMYFUNCTION("GOOGLETRANSLATE(A3065, ""zh-CN"", ""en"")"),"Tianjin")</f>
        <v>Tianjin</v>
      </c>
      <c r="C3139" s="1" t="s">
        <v>2853</v>
      </c>
      <c r="D3139" s="1" t="str">
        <f>IFERROR(__xludf.DUMMYFUNCTION("GOOGLETRANSLATE(C3139, ""zh-CN"", ""en"")"),"Liuzhou")</f>
        <v>Liuzhou</v>
      </c>
      <c r="E3139" s="1" t="s">
        <v>2884</v>
      </c>
      <c r="F3139" s="1" t="str">
        <f>IFERROR(__xludf.DUMMYFUNCTION("GOOGLETRANSLATE(E3139, ""zh-CN"", ""en"")"),"Rong'an County")</f>
        <v>Rong'an County</v>
      </c>
      <c r="G3139" s="1">
        <v>4.50224E11</v>
      </c>
    </row>
    <row r="3140">
      <c r="A3140" s="1" t="s">
        <v>2851</v>
      </c>
      <c r="B3140" s="1" t="str">
        <f>IFERROR(__xludf.DUMMYFUNCTION("GOOGLETRANSLATE(A3066, ""zh-CN"", ""en"")"),"Tianjin")</f>
        <v>Tianjin</v>
      </c>
      <c r="C3140" s="1" t="s">
        <v>2853</v>
      </c>
      <c r="D3140" s="1" t="str">
        <f>IFERROR(__xludf.DUMMYFUNCTION("GOOGLETRANSLATE(C3140, ""zh-CN"", ""en"")"),"Liuzhou")</f>
        <v>Liuzhou</v>
      </c>
      <c r="E3140" s="1" t="s">
        <v>2885</v>
      </c>
      <c r="F3140" s="1" t="str">
        <f>IFERROR(__xludf.DUMMYFUNCTION("GOOGLETRANSLATE(E3140, ""zh-CN"", ""en"")"),"Rongshui Miao Autonomous County")</f>
        <v>Rongshui Miao Autonomous County</v>
      </c>
      <c r="G3140" s="1">
        <v>4.50225E11</v>
      </c>
    </row>
    <row r="3141">
      <c r="A3141" s="1" t="s">
        <v>2851</v>
      </c>
      <c r="B3141" s="1" t="str">
        <f>IFERROR(__xludf.DUMMYFUNCTION("GOOGLETRANSLATE(A3067, ""zh-CN"", ""en"")"),"Tianjin")</f>
        <v>Tianjin</v>
      </c>
      <c r="C3141" s="1" t="s">
        <v>2853</v>
      </c>
      <c r="D3141" s="1" t="str">
        <f>IFERROR(__xludf.DUMMYFUNCTION("GOOGLETRANSLATE(C3141, ""zh-CN"", ""en"")"),"Liuzhou")</f>
        <v>Liuzhou</v>
      </c>
      <c r="E3141" s="1" t="s">
        <v>2886</v>
      </c>
      <c r="F3141" s="1" t="str">
        <f>IFERROR(__xludf.DUMMYFUNCTION("GOOGLETRANSLATE(E3141, ""zh-CN"", ""en"")"),"Sanjiang Dong Autonomous County")</f>
        <v>Sanjiang Dong Autonomous County</v>
      </c>
      <c r="G3141" s="1">
        <v>4.50226E11</v>
      </c>
    </row>
    <row r="3142">
      <c r="A3142" s="1" t="s">
        <v>2851</v>
      </c>
      <c r="B3142" s="1" t="str">
        <f>IFERROR(__xludf.DUMMYFUNCTION("GOOGLETRANSLATE(A3068, ""zh-CN"", ""en"")"),"Tianjin")</f>
        <v>Tianjin</v>
      </c>
      <c r="C3142" s="1" t="s">
        <v>2854</v>
      </c>
      <c r="D3142" s="1" t="str">
        <f>IFERROR(__xludf.DUMMYFUNCTION("GOOGLETRANSLATE(C3142, ""zh-CN"", ""en"")"),"Guilin City")</f>
        <v>Guilin City</v>
      </c>
      <c r="E3142" s="1" t="s">
        <v>24</v>
      </c>
      <c r="F3142" s="1" t="str">
        <f>IFERROR(__xludf.DUMMYFUNCTION("GOOGLETRANSLATE(E3142, ""zh-CN"", ""en"")"),"City area")</f>
        <v>City area</v>
      </c>
      <c r="G3142" s="1">
        <v>4.50301E11</v>
      </c>
    </row>
    <row r="3143">
      <c r="A3143" s="1" t="s">
        <v>2851</v>
      </c>
      <c r="B3143" s="1" t="str">
        <f>IFERROR(__xludf.DUMMYFUNCTION("GOOGLETRANSLATE(A3069, ""zh-CN"", ""en"")"),"Hainan")</f>
        <v>Hainan</v>
      </c>
      <c r="C3143" s="1" t="s">
        <v>2854</v>
      </c>
      <c r="D3143" s="1" t="str">
        <f>IFERROR(__xludf.DUMMYFUNCTION("GOOGLETRANSLATE(C3143, ""zh-CN"", ""en"")"),"Guilin City")</f>
        <v>Guilin City</v>
      </c>
      <c r="E3143" s="1" t="s">
        <v>2887</v>
      </c>
      <c r="F3143" s="1" t="str">
        <f>IFERROR(__xludf.DUMMYFUNCTION("GOOGLETRANSLATE(E3143, ""zh-CN"", ""en"")"),"Xiufeng District")</f>
        <v>Xiufeng District</v>
      </c>
      <c r="G3143" s="1">
        <v>4.50302E11</v>
      </c>
    </row>
    <row r="3144">
      <c r="A3144" s="1" t="s">
        <v>2851</v>
      </c>
      <c r="B3144" s="1" t="str">
        <f>IFERROR(__xludf.DUMMYFUNCTION("GOOGLETRANSLATE(A3070, ""zh-CN"", ""en"")"),"Hainan")</f>
        <v>Hainan</v>
      </c>
      <c r="C3144" s="1" t="s">
        <v>2854</v>
      </c>
      <c r="D3144" s="1" t="str">
        <f>IFERROR(__xludf.DUMMYFUNCTION("GOOGLETRANSLATE(C3144, ""zh-CN"", ""en"")"),"Guilin City")</f>
        <v>Guilin City</v>
      </c>
      <c r="E3144" s="1" t="s">
        <v>2888</v>
      </c>
      <c r="F3144" s="1" t="str">
        <f>IFERROR(__xludf.DUMMYFUNCTION("GOOGLETRANSLATE(E3144, ""zh-CN"", ""en"")"),"Stacking area")</f>
        <v>Stacking area</v>
      </c>
      <c r="G3144" s="1">
        <v>4.50303E11</v>
      </c>
    </row>
    <row r="3145">
      <c r="A3145" s="1" t="s">
        <v>2851</v>
      </c>
      <c r="B3145" s="1" t="str">
        <f>IFERROR(__xludf.DUMMYFUNCTION("GOOGLETRANSLATE(A3071, ""zh-CN"", ""en"")"),"Hainan")</f>
        <v>Hainan</v>
      </c>
      <c r="C3145" s="1" t="s">
        <v>2854</v>
      </c>
      <c r="D3145" s="1" t="str">
        <f>IFERROR(__xludf.DUMMYFUNCTION("GOOGLETRANSLATE(C3145, ""zh-CN"", ""en"")"),"Guilin City")</f>
        <v>Guilin City</v>
      </c>
      <c r="E3145" s="1" t="s">
        <v>2889</v>
      </c>
      <c r="F3145" s="1" t="str">
        <f>IFERROR(__xludf.DUMMYFUNCTION("GOOGLETRANSLATE(E3145, ""zh-CN"", ""en"")"),"Xiangshan area")</f>
        <v>Xiangshan area</v>
      </c>
      <c r="G3145" s="1">
        <v>4.50304E11</v>
      </c>
    </row>
    <row r="3146">
      <c r="A3146" s="1" t="s">
        <v>2851</v>
      </c>
      <c r="B3146" s="1" t="str">
        <f>IFERROR(__xludf.DUMMYFUNCTION("GOOGLETRANSLATE(A3072, ""zh-CN"", ""en"")"),"Hainan")</f>
        <v>Hainan</v>
      </c>
      <c r="C3146" s="1" t="s">
        <v>2854</v>
      </c>
      <c r="D3146" s="1" t="str">
        <f>IFERROR(__xludf.DUMMYFUNCTION("GOOGLETRANSLATE(C3146, ""zh-CN"", ""en"")"),"Guilin City")</f>
        <v>Guilin City</v>
      </c>
      <c r="E3146" s="1" t="s">
        <v>2890</v>
      </c>
      <c r="F3146" s="1" t="str">
        <f>IFERROR(__xludf.DUMMYFUNCTION("GOOGLETRANSLATE(E3146, ""zh-CN"", ""en"")"),"Seven -star district")</f>
        <v>Seven -star district</v>
      </c>
      <c r="G3146" s="1">
        <v>4.50305E11</v>
      </c>
    </row>
    <row r="3147">
      <c r="A3147" s="1" t="s">
        <v>2851</v>
      </c>
      <c r="B3147" s="1" t="str">
        <f>IFERROR(__xludf.DUMMYFUNCTION("GOOGLETRANSLATE(A3073, ""zh-CN"", ""en"")"),"Hainan")</f>
        <v>Hainan</v>
      </c>
      <c r="C3147" s="1" t="s">
        <v>2854</v>
      </c>
      <c r="D3147" s="1" t="str">
        <f>IFERROR(__xludf.DUMMYFUNCTION("GOOGLETRANSLATE(C3147, ""zh-CN"", ""en"")"),"Guilin City")</f>
        <v>Guilin City</v>
      </c>
      <c r="E3147" s="1" t="s">
        <v>2891</v>
      </c>
      <c r="F3147" s="1" t="str">
        <f>IFERROR(__xludf.DUMMYFUNCTION("GOOGLETRANSLATE(E3147, ""zh-CN"", ""en"")"),"Yanshan District")</f>
        <v>Yanshan District</v>
      </c>
      <c r="G3147" s="1">
        <v>4.50311E11</v>
      </c>
    </row>
    <row r="3148">
      <c r="A3148" s="1" t="s">
        <v>2851</v>
      </c>
      <c r="B3148" s="1" t="str">
        <f>IFERROR(__xludf.DUMMYFUNCTION("GOOGLETRANSLATE(A3074, ""zh-CN"", ""en"")"),"Hainan")</f>
        <v>Hainan</v>
      </c>
      <c r="C3148" s="1" t="s">
        <v>2854</v>
      </c>
      <c r="D3148" s="1" t="str">
        <f>IFERROR(__xludf.DUMMYFUNCTION("GOOGLETRANSLATE(C3148, ""zh-CN"", ""en"")"),"Guilin City")</f>
        <v>Guilin City</v>
      </c>
      <c r="E3148" s="1" t="s">
        <v>2892</v>
      </c>
      <c r="F3148" s="1" t="str">
        <f>IFERROR(__xludf.DUMMYFUNCTION("GOOGLETRANSLATE(E3148, ""zh-CN"", ""en"")"),"Lingui District")</f>
        <v>Lingui District</v>
      </c>
      <c r="G3148" s="1">
        <v>4.50312E11</v>
      </c>
    </row>
    <row r="3149">
      <c r="A3149" s="1" t="s">
        <v>2851</v>
      </c>
      <c r="B3149" s="1" t="str">
        <f>IFERROR(__xludf.DUMMYFUNCTION("GOOGLETRANSLATE(A3075, ""zh-CN"", ""en"")"),"Hainan")</f>
        <v>Hainan</v>
      </c>
      <c r="C3149" s="1" t="s">
        <v>2854</v>
      </c>
      <c r="D3149" s="1" t="str">
        <f>IFERROR(__xludf.DUMMYFUNCTION("GOOGLETRANSLATE(C3149, ""zh-CN"", ""en"")"),"Guilin City")</f>
        <v>Guilin City</v>
      </c>
      <c r="E3149" s="1" t="s">
        <v>2893</v>
      </c>
      <c r="F3149" s="1" t="str">
        <f>IFERROR(__xludf.DUMMYFUNCTION("GOOGLETRANSLATE(E3149, ""zh-CN"", ""en"")"),"Yangshuo County")</f>
        <v>Yangshuo County</v>
      </c>
      <c r="G3149" s="1">
        <v>4.50321E11</v>
      </c>
    </row>
    <row r="3150">
      <c r="A3150" s="1" t="s">
        <v>2851</v>
      </c>
      <c r="B3150" s="1" t="str">
        <f>IFERROR(__xludf.DUMMYFUNCTION("GOOGLETRANSLATE(A3076, ""zh-CN"", ""en"")"),"Hainan")</f>
        <v>Hainan</v>
      </c>
      <c r="C3150" s="1" t="s">
        <v>2854</v>
      </c>
      <c r="D3150" s="1" t="str">
        <f>IFERROR(__xludf.DUMMYFUNCTION("GOOGLETRANSLATE(C3150, ""zh-CN"", ""en"")"),"Guilin City")</f>
        <v>Guilin City</v>
      </c>
      <c r="E3150" s="1" t="s">
        <v>2894</v>
      </c>
      <c r="F3150" s="1" t="str">
        <f>IFERROR(__xludf.DUMMYFUNCTION("GOOGLETRANSLATE(E3150, ""zh-CN"", ""en"")"),"Lingchuan County")</f>
        <v>Lingchuan County</v>
      </c>
      <c r="G3150" s="1">
        <v>4.50323E11</v>
      </c>
    </row>
    <row r="3151">
      <c r="A3151" s="1" t="s">
        <v>2851</v>
      </c>
      <c r="B3151" s="1" t="str">
        <f>IFERROR(__xludf.DUMMYFUNCTION("GOOGLETRANSLATE(A3077, ""zh-CN"", ""en"")"),"Hainan")</f>
        <v>Hainan</v>
      </c>
      <c r="C3151" s="1" t="s">
        <v>2854</v>
      </c>
      <c r="D3151" s="1" t="str">
        <f>IFERROR(__xludf.DUMMYFUNCTION("GOOGLETRANSLATE(C3151, ""zh-CN"", ""en"")"),"Guilin City")</f>
        <v>Guilin City</v>
      </c>
      <c r="E3151" s="1" t="s">
        <v>2895</v>
      </c>
      <c r="F3151" s="1" t="str">
        <f>IFERROR(__xludf.DUMMYFUNCTION("GOOGLETRANSLATE(E3151, ""zh-CN"", ""en"")"),"Whole state county")</f>
        <v>Whole state county</v>
      </c>
      <c r="G3151" s="1">
        <v>4.50324E11</v>
      </c>
    </row>
    <row r="3152">
      <c r="A3152" s="1" t="s">
        <v>2851</v>
      </c>
      <c r="B3152" s="1" t="str">
        <f>IFERROR(__xludf.DUMMYFUNCTION("GOOGLETRANSLATE(A3078, ""zh-CN"", ""en"")"),"Hainan")</f>
        <v>Hainan</v>
      </c>
      <c r="C3152" s="1" t="s">
        <v>2854</v>
      </c>
      <c r="D3152" s="1" t="str">
        <f>IFERROR(__xludf.DUMMYFUNCTION("GOOGLETRANSLATE(C3152, ""zh-CN"", ""en"")"),"Guilin City")</f>
        <v>Guilin City</v>
      </c>
      <c r="E3152" s="1" t="s">
        <v>2896</v>
      </c>
      <c r="F3152" s="1" t="str">
        <f>IFERROR(__xludf.DUMMYFUNCTION("GOOGLETRANSLATE(E3152, ""zh-CN"", ""en"")"),"Xing'an County")</f>
        <v>Xing'an County</v>
      </c>
      <c r="G3152" s="1">
        <v>4.50325E11</v>
      </c>
    </row>
    <row r="3153">
      <c r="A3153" s="1" t="s">
        <v>2851</v>
      </c>
      <c r="B3153" s="1" t="str">
        <f>IFERROR(__xludf.DUMMYFUNCTION("GOOGLETRANSLATE(A3079, ""zh-CN"", ""en"")"),"Hainan")</f>
        <v>Hainan</v>
      </c>
      <c r="C3153" s="1" t="s">
        <v>2854</v>
      </c>
      <c r="D3153" s="1" t="str">
        <f>IFERROR(__xludf.DUMMYFUNCTION("GOOGLETRANSLATE(C3153, ""zh-CN"", ""en"")"),"Guilin City")</f>
        <v>Guilin City</v>
      </c>
      <c r="E3153" s="1" t="s">
        <v>2897</v>
      </c>
      <c r="F3153" s="1" t="str">
        <f>IFERROR(__xludf.DUMMYFUNCTION("GOOGLETRANSLATE(E3153, ""zh-CN"", ""en"")"),"Yongfu County")</f>
        <v>Yongfu County</v>
      </c>
      <c r="G3153" s="1">
        <v>4.50326E11</v>
      </c>
    </row>
    <row r="3154">
      <c r="A3154" s="1" t="s">
        <v>2851</v>
      </c>
      <c r="B3154" s="1" t="str">
        <f>IFERROR(__xludf.DUMMYFUNCTION("GOOGLETRANSLATE(A3080, ""zh-CN"", ""en"")"),"Hainan")</f>
        <v>Hainan</v>
      </c>
      <c r="C3154" s="1" t="s">
        <v>2854</v>
      </c>
      <c r="D3154" s="1" t="str">
        <f>IFERROR(__xludf.DUMMYFUNCTION("GOOGLETRANSLATE(C3154, ""zh-CN"", ""en"")"),"Guilin City")</f>
        <v>Guilin City</v>
      </c>
      <c r="E3154" s="1" t="s">
        <v>2898</v>
      </c>
      <c r="F3154" s="1" t="str">
        <f>IFERROR(__xludf.DUMMYFUNCTION("GOOGLETRANSLATE(E3154, ""zh-CN"", ""en"")"),"Guanyang County")</f>
        <v>Guanyang County</v>
      </c>
      <c r="G3154" s="1">
        <v>4.50327E11</v>
      </c>
    </row>
    <row r="3155">
      <c r="A3155" s="1" t="s">
        <v>2851</v>
      </c>
      <c r="B3155" s="1" t="str">
        <f>IFERROR(__xludf.DUMMYFUNCTION("GOOGLETRANSLATE(A3081, ""zh-CN"", ""en"")"),"Hainan")</f>
        <v>Hainan</v>
      </c>
      <c r="C3155" s="1" t="s">
        <v>2854</v>
      </c>
      <c r="D3155" s="1" t="str">
        <f>IFERROR(__xludf.DUMMYFUNCTION("GOOGLETRANSLATE(C3155, ""zh-CN"", ""en"")"),"Guilin City")</f>
        <v>Guilin City</v>
      </c>
      <c r="E3155" s="1" t="s">
        <v>2899</v>
      </c>
      <c r="F3155" s="1" t="str">
        <f>IFERROR(__xludf.DUMMYFUNCTION("GOOGLETRANSLATE(E3155, ""zh-CN"", ""en"")"),"Longsheng autonomous counties")</f>
        <v>Longsheng autonomous counties</v>
      </c>
      <c r="G3155" s="1">
        <v>4.50328E11</v>
      </c>
    </row>
    <row r="3156">
      <c r="A3156" s="1" t="s">
        <v>2851</v>
      </c>
      <c r="B3156" s="1" t="str">
        <f>IFERROR(__xludf.DUMMYFUNCTION("GOOGLETRANSLATE(A3082, ""zh-CN"", ""en"")"),"Hainan")</f>
        <v>Hainan</v>
      </c>
      <c r="C3156" s="1" t="s">
        <v>2854</v>
      </c>
      <c r="D3156" s="1" t="str">
        <f>IFERROR(__xludf.DUMMYFUNCTION("GOOGLETRANSLATE(C3156, ""zh-CN"", ""en"")"),"Guilin City")</f>
        <v>Guilin City</v>
      </c>
      <c r="E3156" s="1" t="s">
        <v>2900</v>
      </c>
      <c r="F3156" s="1" t="str">
        <f>IFERROR(__xludf.DUMMYFUNCTION("GOOGLETRANSLATE(E3156, ""zh-CN"", ""en"")"),"Resource county")</f>
        <v>Resource county</v>
      </c>
      <c r="G3156" s="1">
        <v>4.50329E11</v>
      </c>
    </row>
    <row r="3157">
      <c r="A3157" s="1" t="s">
        <v>2851</v>
      </c>
      <c r="B3157" s="1" t="str">
        <f>IFERROR(__xludf.DUMMYFUNCTION("GOOGLETRANSLATE(A3083, ""zh-CN"", ""en"")"),"Hainan")</f>
        <v>Hainan</v>
      </c>
      <c r="C3157" s="1" t="s">
        <v>2854</v>
      </c>
      <c r="D3157" s="1" t="str">
        <f>IFERROR(__xludf.DUMMYFUNCTION("GOOGLETRANSLATE(C3157, ""zh-CN"", ""en"")"),"Guilin City")</f>
        <v>Guilin City</v>
      </c>
      <c r="E3157" s="1" t="s">
        <v>2901</v>
      </c>
      <c r="F3157" s="1" t="str">
        <f>IFERROR(__xludf.DUMMYFUNCTION("GOOGLETRANSLATE(E3157, ""zh-CN"", ""en"")"),"Pingle County")</f>
        <v>Pingle County</v>
      </c>
      <c r="G3157" s="1">
        <v>4.5033E11</v>
      </c>
    </row>
    <row r="3158">
      <c r="A3158" s="1" t="s">
        <v>2851</v>
      </c>
      <c r="B3158" s="1" t="str">
        <f>IFERROR(__xludf.DUMMYFUNCTION("GOOGLETRANSLATE(A3084, ""zh-CN"", ""en"")"),"Hainan")</f>
        <v>Hainan</v>
      </c>
      <c r="C3158" s="1" t="s">
        <v>2854</v>
      </c>
      <c r="D3158" s="1" t="str">
        <f>IFERROR(__xludf.DUMMYFUNCTION("GOOGLETRANSLATE(C3158, ""zh-CN"", ""en"")"),"Guilin City")</f>
        <v>Guilin City</v>
      </c>
      <c r="E3158" s="1" t="s">
        <v>2902</v>
      </c>
      <c r="F3158" s="1" t="str">
        <f>IFERROR(__xludf.DUMMYFUNCTION("GOOGLETRANSLATE(E3158, ""zh-CN"", ""en"")"),"Gongcheng Yao Autonomous County")</f>
        <v>Gongcheng Yao Autonomous County</v>
      </c>
      <c r="G3158" s="1">
        <v>4.50332E11</v>
      </c>
    </row>
    <row r="3159">
      <c r="A3159" s="1" t="s">
        <v>2851</v>
      </c>
      <c r="B3159" s="1" t="str">
        <f>IFERROR(__xludf.DUMMYFUNCTION("GOOGLETRANSLATE(A3085, ""zh-CN"", ""en"")"),"Hainan")</f>
        <v>Hainan</v>
      </c>
      <c r="C3159" s="1" t="s">
        <v>2854</v>
      </c>
      <c r="D3159" s="1" t="str">
        <f>IFERROR(__xludf.DUMMYFUNCTION("GOOGLETRANSLATE(C3159, ""zh-CN"", ""en"")"),"Guilin City")</f>
        <v>Guilin City</v>
      </c>
      <c r="E3159" s="1" t="s">
        <v>2903</v>
      </c>
      <c r="F3159" s="1" t="str">
        <f>IFERROR(__xludf.DUMMYFUNCTION("GOOGLETRANSLATE(E3159, ""zh-CN"", ""en"")"),"Lipu City")</f>
        <v>Lipu City</v>
      </c>
      <c r="G3159" s="1">
        <v>4.50381E11</v>
      </c>
    </row>
    <row r="3160">
      <c r="A3160" s="1" t="s">
        <v>2851</v>
      </c>
      <c r="B3160" s="1" t="str">
        <f>IFERROR(__xludf.DUMMYFUNCTION("GOOGLETRANSLATE(A3086, ""zh-CN"", ""en"")"),"Hainan")</f>
        <v>Hainan</v>
      </c>
      <c r="C3160" s="1" t="s">
        <v>2855</v>
      </c>
      <c r="D3160" s="1" t="str">
        <f>IFERROR(__xludf.DUMMYFUNCTION("GOOGLETRANSLATE(C3160, ""zh-CN"", ""en"")"),"Wuzhou")</f>
        <v>Wuzhou</v>
      </c>
      <c r="E3160" s="1" t="s">
        <v>24</v>
      </c>
      <c r="F3160" s="1" t="str">
        <f>IFERROR(__xludf.DUMMYFUNCTION("GOOGLETRANSLATE(E3160, ""zh-CN"", ""en"")"),"City area")</f>
        <v>City area</v>
      </c>
      <c r="G3160" s="1">
        <v>4.50401E11</v>
      </c>
    </row>
    <row r="3161">
      <c r="A3161" s="1" t="s">
        <v>2851</v>
      </c>
      <c r="B3161" s="1" t="str">
        <f>IFERROR(__xludf.DUMMYFUNCTION("GOOGLETRANSLATE(A3087, ""zh-CN"", ""en"")"),"Hainan")</f>
        <v>Hainan</v>
      </c>
      <c r="C3161" s="1" t="s">
        <v>2855</v>
      </c>
      <c r="D3161" s="1" t="str">
        <f>IFERROR(__xludf.DUMMYFUNCTION("GOOGLETRANSLATE(C3161, ""zh-CN"", ""en"")"),"Wuzhou")</f>
        <v>Wuzhou</v>
      </c>
      <c r="E3161" s="1" t="s">
        <v>2904</v>
      </c>
      <c r="F3161" s="1" t="str">
        <f>IFERROR(__xludf.DUMMYFUNCTION("GOOGLETRANSLATE(E3161, ""zh-CN"", ""en"")"),"Wanxiu District")</f>
        <v>Wanxiu District</v>
      </c>
      <c r="G3161" s="1">
        <v>4.50403E11</v>
      </c>
    </row>
    <row r="3162">
      <c r="A3162" s="1" t="s">
        <v>2851</v>
      </c>
      <c r="B3162" s="1" t="str">
        <f>IFERROR(__xludf.DUMMYFUNCTION("GOOGLETRANSLATE(A3088, ""zh-CN"", ""en"")"),"Hainan")</f>
        <v>Hainan</v>
      </c>
      <c r="C3162" s="1" t="s">
        <v>2855</v>
      </c>
      <c r="D3162" s="1" t="str">
        <f>IFERROR(__xludf.DUMMYFUNCTION("GOOGLETRANSLATE(C3162, ""zh-CN"", ""en"")"),"Wuzhou")</f>
        <v>Wuzhou</v>
      </c>
      <c r="E3162" s="1" t="s">
        <v>2905</v>
      </c>
      <c r="F3162" s="1" t="str">
        <f>IFERROR(__xludf.DUMMYFUNCTION("GOOGLETRANSLATE(E3162, ""zh-CN"", ""en"")"),"Changzhou District")</f>
        <v>Changzhou District</v>
      </c>
      <c r="G3162" s="1">
        <v>4.50405E11</v>
      </c>
    </row>
    <row r="3163">
      <c r="A3163" s="1" t="s">
        <v>2851</v>
      </c>
      <c r="B3163" s="1" t="str">
        <f>IFERROR(__xludf.DUMMYFUNCTION("GOOGLETRANSLATE(A3089, ""zh-CN"", ""en"")"),"Hainan")</f>
        <v>Hainan</v>
      </c>
      <c r="C3163" s="1" t="s">
        <v>2855</v>
      </c>
      <c r="D3163" s="1" t="str">
        <f>IFERROR(__xludf.DUMMYFUNCTION("GOOGLETRANSLATE(C3163, ""zh-CN"", ""en"")"),"Wuzhou")</f>
        <v>Wuzhou</v>
      </c>
      <c r="E3163" s="1" t="s">
        <v>2906</v>
      </c>
      <c r="F3163" s="1" t="str">
        <f>IFERROR(__xludf.DUMMYFUNCTION("GOOGLETRANSLATE(E3163, ""zh-CN"", ""en"")"),"Longyu District")</f>
        <v>Longyu District</v>
      </c>
      <c r="G3163" s="1">
        <v>4.50406E11</v>
      </c>
    </row>
    <row r="3164">
      <c r="A3164" s="1" t="s">
        <v>2851</v>
      </c>
      <c r="B3164" s="1" t="str">
        <f>IFERROR(__xludf.DUMMYFUNCTION("GOOGLETRANSLATE(A3090, ""zh-CN"", ""en"")"),"Hainan")</f>
        <v>Hainan</v>
      </c>
      <c r="C3164" s="1" t="s">
        <v>2855</v>
      </c>
      <c r="D3164" s="1" t="str">
        <f>IFERROR(__xludf.DUMMYFUNCTION("GOOGLETRANSLATE(C3164, ""zh-CN"", ""en"")"),"Wuzhou")</f>
        <v>Wuzhou</v>
      </c>
      <c r="E3164" s="1" t="s">
        <v>2907</v>
      </c>
      <c r="F3164" s="1" t="str">
        <f>IFERROR(__xludf.DUMMYFUNCTION("GOOGLETRANSLATE(E3164, ""zh-CN"", ""en"")"),"Cangwu County")</f>
        <v>Cangwu County</v>
      </c>
      <c r="G3164" s="1">
        <v>4.50421E11</v>
      </c>
    </row>
    <row r="3165">
      <c r="A3165" s="1" t="s">
        <v>2851</v>
      </c>
      <c r="B3165" s="1" t="str">
        <f>IFERROR(__xludf.DUMMYFUNCTION("GOOGLETRANSLATE(A3091, ""zh-CN"", ""en"")"),"Hainan")</f>
        <v>Hainan</v>
      </c>
      <c r="C3165" s="1" t="s">
        <v>2855</v>
      </c>
      <c r="D3165" s="1" t="str">
        <f>IFERROR(__xludf.DUMMYFUNCTION("GOOGLETRANSLATE(C3165, ""zh-CN"", ""en"")"),"Wuzhou")</f>
        <v>Wuzhou</v>
      </c>
      <c r="E3165" s="1" t="s">
        <v>2908</v>
      </c>
      <c r="F3165" s="1" t="str">
        <f>IFERROR(__xludf.DUMMYFUNCTION("GOOGLETRANSLATE(E3165, ""zh-CN"", ""en"")"),"Vine County")</f>
        <v>Vine County</v>
      </c>
      <c r="G3165" s="1">
        <v>4.50422E11</v>
      </c>
    </row>
    <row r="3166">
      <c r="A3166" s="1" t="s">
        <v>2851</v>
      </c>
      <c r="B3166" s="1" t="str">
        <f>IFERROR(__xludf.DUMMYFUNCTION("GOOGLETRANSLATE(A3092, ""zh-CN"", ""en"")"),"Hainan")</f>
        <v>Hainan</v>
      </c>
      <c r="C3166" s="1" t="s">
        <v>2855</v>
      </c>
      <c r="D3166" s="1" t="str">
        <f>IFERROR(__xludf.DUMMYFUNCTION("GOOGLETRANSLATE(C3166, ""zh-CN"", ""en"")"),"Wuzhou")</f>
        <v>Wuzhou</v>
      </c>
      <c r="E3166" s="1" t="s">
        <v>2909</v>
      </c>
      <c r="F3166" s="1" t="str">
        <f>IFERROR(__xludf.DUMMYFUNCTION("GOOGLETRANSLATE(E3166, ""zh-CN"", ""en"")"),"Mengshan County")</f>
        <v>Mengshan County</v>
      </c>
      <c r="G3166" s="1">
        <v>4.50423E11</v>
      </c>
    </row>
    <row r="3167">
      <c r="A3167" s="1" t="s">
        <v>2851</v>
      </c>
      <c r="B3167" s="1" t="str">
        <f>IFERROR(__xludf.DUMMYFUNCTION("GOOGLETRANSLATE(A3093, ""zh-CN"", ""en"")"),"Hainan")</f>
        <v>Hainan</v>
      </c>
      <c r="C3167" s="1" t="s">
        <v>2855</v>
      </c>
      <c r="D3167" s="1" t="str">
        <f>IFERROR(__xludf.DUMMYFUNCTION("GOOGLETRANSLATE(C3167, ""zh-CN"", ""en"")"),"Wuzhou")</f>
        <v>Wuzhou</v>
      </c>
      <c r="E3167" s="1" t="s">
        <v>2910</v>
      </c>
      <c r="F3167" s="1" t="str">
        <f>IFERROR(__xludf.DUMMYFUNCTION("GOOGLETRANSLATE(E3167, ""zh-CN"", ""en"")"),"Cenxi City")</f>
        <v>Cenxi City</v>
      </c>
      <c r="G3167" s="1">
        <v>4.50481E11</v>
      </c>
    </row>
    <row r="3168">
      <c r="A3168" s="1" t="s">
        <v>2851</v>
      </c>
      <c r="B3168" s="1" t="str">
        <f>IFERROR(__xludf.DUMMYFUNCTION("GOOGLETRANSLATE(A3094, ""zh-CN"", ""en"")"),"Hainan")</f>
        <v>Hainan</v>
      </c>
      <c r="C3168" s="1" t="s">
        <v>2856</v>
      </c>
      <c r="D3168" s="1" t="str">
        <f>IFERROR(__xludf.DUMMYFUNCTION("GOOGLETRANSLATE(C3168, ""zh-CN"", ""en"")"),"Beihai City")</f>
        <v>Beihai City</v>
      </c>
      <c r="E3168" s="1" t="s">
        <v>24</v>
      </c>
      <c r="F3168" s="1" t="str">
        <f>IFERROR(__xludf.DUMMYFUNCTION("GOOGLETRANSLATE(E3168, ""zh-CN"", ""en"")"),"City area")</f>
        <v>City area</v>
      </c>
      <c r="G3168" s="1">
        <v>4.50501E11</v>
      </c>
    </row>
    <row r="3169">
      <c r="A3169" s="1" t="s">
        <v>2851</v>
      </c>
      <c r="B3169" s="1" t="str">
        <f>IFERROR(__xludf.DUMMYFUNCTION("GOOGLETRANSLATE(A3095, ""zh-CN"", ""en"")"),"Hainan")</f>
        <v>Hainan</v>
      </c>
      <c r="C3169" s="1" t="s">
        <v>2856</v>
      </c>
      <c r="D3169" s="1" t="str">
        <f>IFERROR(__xludf.DUMMYFUNCTION("GOOGLETRANSLATE(C3169, ""zh-CN"", ""en"")"),"Beihai City")</f>
        <v>Beihai City</v>
      </c>
      <c r="E3169" s="1" t="s">
        <v>2911</v>
      </c>
      <c r="F3169" s="1" t="str">
        <f>IFERROR(__xludf.DUMMYFUNCTION("GOOGLETRANSLATE(E3169, ""zh-CN"", ""en"")"),"Sea city")</f>
        <v>Sea city</v>
      </c>
      <c r="G3169" s="1">
        <v>4.50502E11</v>
      </c>
    </row>
    <row r="3170">
      <c r="A3170" s="1" t="s">
        <v>2851</v>
      </c>
      <c r="B3170" s="1" t="str">
        <f>IFERROR(__xludf.DUMMYFUNCTION("GOOGLETRANSLATE(A3096, ""zh-CN"", ""en"")"),"Hainan")</f>
        <v>Hainan</v>
      </c>
      <c r="C3170" s="1" t="s">
        <v>2856</v>
      </c>
      <c r="D3170" s="1" t="str">
        <f>IFERROR(__xludf.DUMMYFUNCTION("GOOGLETRANSLATE(C3170, ""zh-CN"", ""en"")"),"Beihai City")</f>
        <v>Beihai City</v>
      </c>
      <c r="E3170" s="1" t="s">
        <v>2912</v>
      </c>
      <c r="F3170" s="1" t="str">
        <f>IFERROR(__xludf.DUMMYFUNCTION("GOOGLETRANSLATE(E3170, ""zh-CN"", ""en"")"),"Yinhai District")</f>
        <v>Yinhai District</v>
      </c>
      <c r="G3170" s="1">
        <v>4.50503E11</v>
      </c>
    </row>
    <row r="3171">
      <c r="A3171" s="1" t="s">
        <v>2851</v>
      </c>
      <c r="B3171" s="1" t="str">
        <f>IFERROR(__xludf.DUMMYFUNCTION("GOOGLETRANSLATE(A3097, ""zh-CN"", ""en"")"),"Hainan")</f>
        <v>Hainan</v>
      </c>
      <c r="C3171" s="1" t="s">
        <v>2856</v>
      </c>
      <c r="D3171" s="1" t="str">
        <f>IFERROR(__xludf.DUMMYFUNCTION("GOOGLETRANSLATE(C3171, ""zh-CN"", ""en"")"),"Beihai City")</f>
        <v>Beihai City</v>
      </c>
      <c r="E3171" s="1" t="s">
        <v>2913</v>
      </c>
      <c r="F3171" s="1" t="str">
        <f>IFERROR(__xludf.DUMMYFUNCTION("GOOGLETRANSLATE(E3171, ""zh-CN"", ""en"")"),"Tieshan Port District")</f>
        <v>Tieshan Port District</v>
      </c>
      <c r="G3171" s="1">
        <v>4.50512E11</v>
      </c>
    </row>
    <row r="3172">
      <c r="A3172" s="1" t="s">
        <v>2851</v>
      </c>
      <c r="B3172" s="1" t="str">
        <f>IFERROR(__xludf.DUMMYFUNCTION("GOOGLETRANSLATE(A3098, ""zh-CN"", ""en"")"),"Hainan")</f>
        <v>Hainan</v>
      </c>
      <c r="C3172" s="1" t="s">
        <v>2856</v>
      </c>
      <c r="D3172" s="1" t="str">
        <f>IFERROR(__xludf.DUMMYFUNCTION("GOOGLETRANSLATE(C3172, ""zh-CN"", ""en"")"),"Beihai City")</f>
        <v>Beihai City</v>
      </c>
      <c r="E3172" s="1" t="s">
        <v>2914</v>
      </c>
      <c r="F3172" s="1" t="str">
        <f>IFERROR(__xludf.DUMMYFUNCTION("GOOGLETRANSLATE(E3172, ""zh-CN"", ""en"")"),"Hepu County")</f>
        <v>Hepu County</v>
      </c>
      <c r="G3172" s="1">
        <v>4.50521E11</v>
      </c>
    </row>
    <row r="3173">
      <c r="A3173" s="1" t="s">
        <v>2851</v>
      </c>
      <c r="B3173" s="1" t="str">
        <f>IFERROR(__xludf.DUMMYFUNCTION("GOOGLETRANSLATE(A3099, ""zh-CN"", ""en"")"),"Hainan")</f>
        <v>Hainan</v>
      </c>
      <c r="C3173" s="1" t="s">
        <v>2857</v>
      </c>
      <c r="D3173" s="1" t="str">
        <f>IFERROR(__xludf.DUMMYFUNCTION("GOOGLETRANSLATE(C3173, ""zh-CN"", ""en"")"),"Fangchenggang City")</f>
        <v>Fangchenggang City</v>
      </c>
      <c r="E3173" s="1" t="s">
        <v>24</v>
      </c>
      <c r="F3173" s="1" t="str">
        <f>IFERROR(__xludf.DUMMYFUNCTION("GOOGLETRANSLATE(E3173, ""zh-CN"", ""en"")"),"City area")</f>
        <v>City area</v>
      </c>
      <c r="G3173" s="1">
        <v>4.50601E11</v>
      </c>
    </row>
    <row r="3174">
      <c r="A3174" s="1" t="s">
        <v>2851</v>
      </c>
      <c r="B3174" s="1" t="str">
        <f>IFERROR(__xludf.DUMMYFUNCTION("GOOGLETRANSLATE(A3100, ""zh-CN"", ""en"")"),"Hainan")</f>
        <v>Hainan</v>
      </c>
      <c r="C3174" s="1" t="s">
        <v>2857</v>
      </c>
      <c r="D3174" s="1" t="str">
        <f>IFERROR(__xludf.DUMMYFUNCTION("GOOGLETRANSLATE(C3174, ""zh-CN"", ""en"")"),"Fangchenggang City")</f>
        <v>Fangchenggang City</v>
      </c>
      <c r="E3174" s="1" t="s">
        <v>2915</v>
      </c>
      <c r="F3174" s="1" t="str">
        <f>IFERROR(__xludf.DUMMYFUNCTION("GOOGLETRANSLATE(E3174, ""zh-CN"", ""en"")"),"Port area")</f>
        <v>Port area</v>
      </c>
      <c r="G3174" s="1">
        <v>4.50602E11</v>
      </c>
    </row>
    <row r="3175">
      <c r="A3175" s="1" t="s">
        <v>2851</v>
      </c>
      <c r="B3175" s="1" t="str">
        <f>IFERROR(__xludf.DUMMYFUNCTION("GOOGLETRANSLATE(A3101, ""zh-CN"", ""en"")"),"Hainan")</f>
        <v>Hainan</v>
      </c>
      <c r="C3175" s="1" t="s">
        <v>2857</v>
      </c>
      <c r="D3175" s="1" t="str">
        <f>IFERROR(__xludf.DUMMYFUNCTION("GOOGLETRANSLATE(C3175, ""zh-CN"", ""en"")"),"Fangchenggang City")</f>
        <v>Fangchenggang City</v>
      </c>
      <c r="E3175" s="1" t="s">
        <v>2916</v>
      </c>
      <c r="F3175" s="1" t="str">
        <f>IFERROR(__xludf.DUMMYFUNCTION("GOOGLETRANSLATE(E3175, ""zh-CN"", ""en"")"),"Fangcheng")</f>
        <v>Fangcheng</v>
      </c>
      <c r="G3175" s="1">
        <v>4.50603E11</v>
      </c>
    </row>
    <row r="3176">
      <c r="A3176" s="1" t="s">
        <v>2851</v>
      </c>
      <c r="B3176" s="1" t="str">
        <f>IFERROR(__xludf.DUMMYFUNCTION("GOOGLETRANSLATE(A3102, ""zh-CN"", ""en"")"),"Hainan")</f>
        <v>Hainan</v>
      </c>
      <c r="C3176" s="1" t="s">
        <v>2857</v>
      </c>
      <c r="D3176" s="1" t="str">
        <f>IFERROR(__xludf.DUMMYFUNCTION("GOOGLETRANSLATE(C3176, ""zh-CN"", ""en"")"),"Fangchenggang City")</f>
        <v>Fangchenggang City</v>
      </c>
      <c r="E3176" s="1" t="s">
        <v>2917</v>
      </c>
      <c r="F3176" s="1" t="str">
        <f>IFERROR(__xludf.DUMMYFUNCTION("GOOGLETRANSLATE(E3176, ""zh-CN"", ""en"")"),"Shangsi County")</f>
        <v>Shangsi County</v>
      </c>
      <c r="G3176" s="1">
        <v>4.50621E11</v>
      </c>
    </row>
    <row r="3177">
      <c r="A3177" s="1" t="s">
        <v>2851</v>
      </c>
      <c r="B3177" s="1" t="str">
        <f>IFERROR(__xludf.DUMMYFUNCTION("GOOGLETRANSLATE(A3103, ""zh-CN"", ""en"")"),"Guangxi Zhuang Autonomous Region")</f>
        <v>Guangxi Zhuang Autonomous Region</v>
      </c>
      <c r="C3177" s="1" t="s">
        <v>2857</v>
      </c>
      <c r="D3177" s="1" t="str">
        <f>IFERROR(__xludf.DUMMYFUNCTION("GOOGLETRANSLATE(C3177, ""zh-CN"", ""en"")"),"Fangchenggang City")</f>
        <v>Fangchenggang City</v>
      </c>
      <c r="E3177" s="1" t="s">
        <v>2918</v>
      </c>
      <c r="F3177" s="1" t="str">
        <f>IFERROR(__xludf.DUMMYFUNCTION("GOOGLETRANSLATE(E3177, ""zh-CN"", ""en"")"),"Dongxing City")</f>
        <v>Dongxing City</v>
      </c>
      <c r="G3177" s="1">
        <v>4.50681E11</v>
      </c>
    </row>
    <row r="3178">
      <c r="A3178" s="1" t="s">
        <v>2851</v>
      </c>
      <c r="B3178" s="1" t="str">
        <f>IFERROR(__xludf.DUMMYFUNCTION("GOOGLETRANSLATE(A3104, ""zh-CN"", ""en"")"),"Guangxi Zhuang Autonomous Region")</f>
        <v>Guangxi Zhuang Autonomous Region</v>
      </c>
      <c r="C3178" s="1" t="s">
        <v>2858</v>
      </c>
      <c r="D3178" s="1" t="str">
        <f>IFERROR(__xludf.DUMMYFUNCTION("GOOGLETRANSLATE(C3178, ""zh-CN"", ""en"")"),"Qinzhou")</f>
        <v>Qinzhou</v>
      </c>
      <c r="E3178" s="1" t="s">
        <v>24</v>
      </c>
      <c r="F3178" s="1" t="str">
        <f>IFERROR(__xludf.DUMMYFUNCTION("GOOGLETRANSLATE(E3178, ""zh-CN"", ""en"")"),"City area")</f>
        <v>City area</v>
      </c>
      <c r="G3178" s="1">
        <v>4.50701E11</v>
      </c>
    </row>
    <row r="3179">
      <c r="A3179" s="1" t="s">
        <v>2851</v>
      </c>
      <c r="B3179" s="1" t="str">
        <f>IFERROR(__xludf.DUMMYFUNCTION("GOOGLETRANSLATE(A3105, ""zh-CN"", ""en"")"),"Guangxi Zhuang Autonomous Region")</f>
        <v>Guangxi Zhuang Autonomous Region</v>
      </c>
      <c r="C3179" s="1" t="s">
        <v>2858</v>
      </c>
      <c r="D3179" s="1" t="str">
        <f>IFERROR(__xludf.DUMMYFUNCTION("GOOGLETRANSLATE(C3179, ""zh-CN"", ""en"")"),"Qinzhou")</f>
        <v>Qinzhou</v>
      </c>
      <c r="E3179" s="1" t="s">
        <v>2919</v>
      </c>
      <c r="F3179" s="1" t="str">
        <f>IFERROR(__xludf.DUMMYFUNCTION("GOOGLETRANSLATE(E3179, ""zh-CN"", ""en"")"),"Qinnan District")</f>
        <v>Qinnan District</v>
      </c>
      <c r="G3179" s="1">
        <v>4.50702E11</v>
      </c>
    </row>
    <row r="3180">
      <c r="A3180" s="1" t="s">
        <v>2851</v>
      </c>
      <c r="B3180" s="1" t="str">
        <f>IFERROR(__xludf.DUMMYFUNCTION("GOOGLETRANSLATE(A3106, ""zh-CN"", ""en"")"),"Guangxi Zhuang Autonomous Region")</f>
        <v>Guangxi Zhuang Autonomous Region</v>
      </c>
      <c r="C3180" s="1" t="s">
        <v>2858</v>
      </c>
      <c r="D3180" s="1" t="str">
        <f>IFERROR(__xludf.DUMMYFUNCTION("GOOGLETRANSLATE(C3180, ""zh-CN"", ""en"")"),"Qinzhou")</f>
        <v>Qinzhou</v>
      </c>
      <c r="E3180" s="1" t="s">
        <v>2920</v>
      </c>
      <c r="F3180" s="1" t="str">
        <f>IFERROR(__xludf.DUMMYFUNCTION("GOOGLETRANSLATE(E3180, ""zh-CN"", ""en"")"),"Qinbei District")</f>
        <v>Qinbei District</v>
      </c>
      <c r="G3180" s="1">
        <v>4.50703E11</v>
      </c>
    </row>
    <row r="3181">
      <c r="A3181" s="1" t="s">
        <v>2851</v>
      </c>
      <c r="B3181" s="1" t="str">
        <f>IFERROR(__xludf.DUMMYFUNCTION("GOOGLETRANSLATE(A3107, ""zh-CN"", ""en"")"),"Guangxi Zhuang Autonomous Region")</f>
        <v>Guangxi Zhuang Autonomous Region</v>
      </c>
      <c r="C3181" s="1" t="s">
        <v>2858</v>
      </c>
      <c r="D3181" s="1" t="str">
        <f>IFERROR(__xludf.DUMMYFUNCTION("GOOGLETRANSLATE(C3181, ""zh-CN"", ""en"")"),"Qinzhou")</f>
        <v>Qinzhou</v>
      </c>
      <c r="E3181" s="1" t="s">
        <v>2921</v>
      </c>
      <c r="F3181" s="1" t="str">
        <f>IFERROR(__xludf.DUMMYFUNCTION("GOOGLETRANSLATE(E3181, ""zh-CN"", ""en"")"),"Lingshan County")</f>
        <v>Lingshan County</v>
      </c>
      <c r="G3181" s="1">
        <v>4.50721E11</v>
      </c>
    </row>
    <row r="3182">
      <c r="A3182" s="1" t="s">
        <v>2851</v>
      </c>
      <c r="B3182" s="1" t="str">
        <f>IFERROR(__xludf.DUMMYFUNCTION("GOOGLETRANSLATE(A3108, ""zh-CN"", ""en"")"),"Guangxi Zhuang Autonomous Region")</f>
        <v>Guangxi Zhuang Autonomous Region</v>
      </c>
      <c r="C3182" s="1" t="s">
        <v>2858</v>
      </c>
      <c r="D3182" s="1" t="str">
        <f>IFERROR(__xludf.DUMMYFUNCTION("GOOGLETRANSLATE(C3182, ""zh-CN"", ""en"")"),"Qinzhou")</f>
        <v>Qinzhou</v>
      </c>
      <c r="E3182" s="1" t="s">
        <v>2922</v>
      </c>
      <c r="F3182" s="1" t="str">
        <f>IFERROR(__xludf.DUMMYFUNCTION("GOOGLETRANSLATE(E3182, ""zh-CN"", ""en"")"),"Pu Beibei County")</f>
        <v>Pu Beibei County</v>
      </c>
      <c r="G3182" s="1">
        <v>4.50722E11</v>
      </c>
    </row>
    <row r="3183">
      <c r="A3183" s="1" t="s">
        <v>2851</v>
      </c>
      <c r="B3183" s="1" t="str">
        <f>IFERROR(__xludf.DUMMYFUNCTION("GOOGLETRANSLATE(A3109, ""zh-CN"", ""en"")"),"Guangxi Zhuang Autonomous Region")</f>
        <v>Guangxi Zhuang Autonomous Region</v>
      </c>
      <c r="C3183" s="1" t="s">
        <v>2859</v>
      </c>
      <c r="D3183" s="1" t="str">
        <f>IFERROR(__xludf.DUMMYFUNCTION("GOOGLETRANSLATE(C3183, ""zh-CN"", ""en"")"),"Guigang")</f>
        <v>Guigang</v>
      </c>
      <c r="E3183" s="1" t="s">
        <v>24</v>
      </c>
      <c r="F3183" s="1" t="str">
        <f>IFERROR(__xludf.DUMMYFUNCTION("GOOGLETRANSLATE(E3183, ""zh-CN"", ""en"")"),"City area")</f>
        <v>City area</v>
      </c>
      <c r="G3183" s="1">
        <v>4.50801E11</v>
      </c>
    </row>
    <row r="3184">
      <c r="A3184" s="1" t="s">
        <v>2851</v>
      </c>
      <c r="B3184" s="1" t="str">
        <f>IFERROR(__xludf.DUMMYFUNCTION("GOOGLETRANSLATE(A3110, ""zh-CN"", ""en"")"),"Guangxi Zhuang Autonomous Region")</f>
        <v>Guangxi Zhuang Autonomous Region</v>
      </c>
      <c r="C3184" s="1" t="s">
        <v>2859</v>
      </c>
      <c r="D3184" s="1" t="str">
        <f>IFERROR(__xludf.DUMMYFUNCTION("GOOGLETRANSLATE(C3184, ""zh-CN"", ""en"")"),"Guigang")</f>
        <v>Guigang</v>
      </c>
      <c r="E3184" s="1" t="s">
        <v>2923</v>
      </c>
      <c r="F3184" s="1" t="str">
        <f>IFERROR(__xludf.DUMMYFUNCTION("GOOGLETRANSLATE(E3184, ""zh-CN"", ""en"")"),"Northern part")</f>
        <v>Northern part</v>
      </c>
      <c r="G3184" s="1">
        <v>4.50802E11</v>
      </c>
    </row>
    <row r="3185">
      <c r="A3185" s="1" t="s">
        <v>2851</v>
      </c>
      <c r="B3185" s="1" t="str">
        <f>IFERROR(__xludf.DUMMYFUNCTION("GOOGLETRANSLATE(A3111, ""zh-CN"", ""en"")"),"Guangxi Zhuang Autonomous Region")</f>
        <v>Guangxi Zhuang Autonomous Region</v>
      </c>
      <c r="C3185" s="1" t="s">
        <v>2859</v>
      </c>
      <c r="D3185" s="1" t="str">
        <f>IFERROR(__xludf.DUMMYFUNCTION("GOOGLETRANSLATE(C3185, ""zh-CN"", ""en"")"),"Guigang")</f>
        <v>Guigang</v>
      </c>
      <c r="E3185" s="1" t="s">
        <v>2924</v>
      </c>
      <c r="F3185" s="1" t="str">
        <f>IFERROR(__xludf.DUMMYFUNCTION("GOOGLETRANSLATE(E3185, ""zh-CN"", ""en"")"),"Southern area")</f>
        <v>Southern area</v>
      </c>
      <c r="G3185" s="1">
        <v>4.50803E11</v>
      </c>
    </row>
    <row r="3186">
      <c r="A3186" s="1" t="s">
        <v>2851</v>
      </c>
      <c r="B3186" s="1" t="str">
        <f>IFERROR(__xludf.DUMMYFUNCTION("GOOGLETRANSLATE(A3112, ""zh-CN"", ""en"")"),"Guangxi Zhuang Autonomous Region")</f>
        <v>Guangxi Zhuang Autonomous Region</v>
      </c>
      <c r="C3186" s="1" t="s">
        <v>2859</v>
      </c>
      <c r="D3186" s="1" t="str">
        <f>IFERROR(__xludf.DUMMYFUNCTION("GOOGLETRANSLATE(C3186, ""zh-CN"", ""en"")"),"Guigang")</f>
        <v>Guigang</v>
      </c>
      <c r="E3186" s="1" t="s">
        <v>2925</v>
      </c>
      <c r="F3186" s="1" t="str">
        <f>IFERROR(__xludf.DUMMYFUNCTION("GOOGLETRANSLATE(E3186, ""zh-CN"", ""en"")"),"Qintang District")</f>
        <v>Qintang District</v>
      </c>
      <c r="G3186" s="1">
        <v>4.50804E11</v>
      </c>
    </row>
    <row r="3187">
      <c r="A3187" s="1" t="s">
        <v>2851</v>
      </c>
      <c r="B3187" s="1" t="str">
        <f>IFERROR(__xludf.DUMMYFUNCTION("GOOGLETRANSLATE(A3113, ""zh-CN"", ""en"")"),"Guangxi Zhuang Autonomous Region")</f>
        <v>Guangxi Zhuang Autonomous Region</v>
      </c>
      <c r="C3187" s="1" t="s">
        <v>2859</v>
      </c>
      <c r="D3187" s="1" t="str">
        <f>IFERROR(__xludf.DUMMYFUNCTION("GOOGLETRANSLATE(C3187, ""zh-CN"", ""en"")"),"Guigang")</f>
        <v>Guigang</v>
      </c>
      <c r="E3187" s="1" t="s">
        <v>2926</v>
      </c>
      <c r="F3187" s="1" t="str">
        <f>IFERROR(__xludf.DUMMYFUNCTION("GOOGLETRANSLATE(E3187, ""zh-CN"", ""en"")"),"Pingnan County")</f>
        <v>Pingnan County</v>
      </c>
      <c r="G3187" s="1">
        <v>4.50821E11</v>
      </c>
    </row>
    <row r="3188">
      <c r="A3188" s="1" t="s">
        <v>2851</v>
      </c>
      <c r="B3188" s="1" t="str">
        <f>IFERROR(__xludf.DUMMYFUNCTION("GOOGLETRANSLATE(A3114, ""zh-CN"", ""en"")"),"Guangxi Zhuang Autonomous Region")</f>
        <v>Guangxi Zhuang Autonomous Region</v>
      </c>
      <c r="C3188" s="1" t="s">
        <v>2859</v>
      </c>
      <c r="D3188" s="1" t="str">
        <f>IFERROR(__xludf.DUMMYFUNCTION("GOOGLETRANSLATE(C3188, ""zh-CN"", ""en"")"),"Guigang")</f>
        <v>Guigang</v>
      </c>
      <c r="E3188" s="1" t="s">
        <v>2927</v>
      </c>
      <c r="F3188" s="1" t="str">
        <f>IFERROR(__xludf.DUMMYFUNCTION("GOOGLETRANSLATE(E3188, ""zh-CN"", ""en"")"),"Guiping City")</f>
        <v>Guiping City</v>
      </c>
      <c r="G3188" s="1">
        <v>4.50881E11</v>
      </c>
    </row>
    <row r="3189">
      <c r="A3189" s="1" t="s">
        <v>2851</v>
      </c>
      <c r="B3189" s="1" t="str">
        <f>IFERROR(__xludf.DUMMYFUNCTION("GOOGLETRANSLATE(A3115, ""zh-CN"", ""en"")"),"Guangxi Zhuang Autonomous Region")</f>
        <v>Guangxi Zhuang Autonomous Region</v>
      </c>
      <c r="C3189" s="1" t="s">
        <v>2860</v>
      </c>
      <c r="D3189" s="1" t="str">
        <f>IFERROR(__xludf.DUMMYFUNCTION("GOOGLETRANSLATE(C3189, ""zh-CN"", ""en"")"),"Yulin City")</f>
        <v>Yulin City</v>
      </c>
      <c r="E3189" s="1" t="s">
        <v>24</v>
      </c>
      <c r="F3189" s="1" t="str">
        <f>IFERROR(__xludf.DUMMYFUNCTION("GOOGLETRANSLATE(E3189, ""zh-CN"", ""en"")"),"City area")</f>
        <v>City area</v>
      </c>
      <c r="G3189" s="1">
        <v>4.50901E11</v>
      </c>
    </row>
    <row r="3190">
      <c r="A3190" s="1" t="s">
        <v>2851</v>
      </c>
      <c r="B3190" s="1" t="str">
        <f>IFERROR(__xludf.DUMMYFUNCTION("GOOGLETRANSLATE(A3116, ""zh-CN"", ""en"")"),"Guangxi Zhuang Autonomous Region")</f>
        <v>Guangxi Zhuang Autonomous Region</v>
      </c>
      <c r="C3190" s="1" t="s">
        <v>2860</v>
      </c>
      <c r="D3190" s="1" t="str">
        <f>IFERROR(__xludf.DUMMYFUNCTION("GOOGLETRANSLATE(C3190, ""zh-CN"", ""en"")"),"Yulin City")</f>
        <v>Yulin City</v>
      </c>
      <c r="E3190" s="1" t="s">
        <v>2928</v>
      </c>
      <c r="F3190" s="1" t="str">
        <f>IFERROR(__xludf.DUMMYFUNCTION("GOOGLETRANSLATE(E3190, ""zh-CN"", ""en"")"),"Yuzhou District")</f>
        <v>Yuzhou District</v>
      </c>
      <c r="G3190" s="1">
        <v>4.50902E11</v>
      </c>
    </row>
    <row r="3191">
      <c r="A3191" s="1" t="s">
        <v>2851</v>
      </c>
      <c r="B3191" s="1" t="str">
        <f>IFERROR(__xludf.DUMMYFUNCTION("GOOGLETRANSLATE(A3117, ""zh-CN"", ""en"")"),"Guangxi Zhuang Autonomous Region")</f>
        <v>Guangxi Zhuang Autonomous Region</v>
      </c>
      <c r="C3191" s="1" t="s">
        <v>2860</v>
      </c>
      <c r="D3191" s="1" t="str">
        <f>IFERROR(__xludf.DUMMYFUNCTION("GOOGLETRANSLATE(C3191, ""zh-CN"", ""en"")"),"Yulin City")</f>
        <v>Yulin City</v>
      </c>
      <c r="E3191" s="1" t="s">
        <v>2929</v>
      </c>
      <c r="F3191" s="1" t="str">
        <f>IFERROR(__xludf.DUMMYFUNCTION("GOOGLETRANSLATE(E3191, ""zh-CN"", ""en"")"),"Blessing district")</f>
        <v>Blessing district</v>
      </c>
      <c r="G3191" s="1">
        <v>4.50903E11</v>
      </c>
    </row>
    <row r="3192">
      <c r="A3192" s="1" t="s">
        <v>2851</v>
      </c>
      <c r="B3192" s="1" t="str">
        <f>IFERROR(__xludf.DUMMYFUNCTION("GOOGLETRANSLATE(A3118, ""zh-CN"", ""en"")"),"Guangxi Zhuang Autonomous Region")</f>
        <v>Guangxi Zhuang Autonomous Region</v>
      </c>
      <c r="C3192" s="1" t="s">
        <v>2860</v>
      </c>
      <c r="D3192" s="1" t="str">
        <f>IFERROR(__xludf.DUMMYFUNCTION("GOOGLETRANSLATE(C3192, ""zh-CN"", ""en"")"),"Yulin City")</f>
        <v>Yulin City</v>
      </c>
      <c r="E3192" s="1" t="s">
        <v>2930</v>
      </c>
      <c r="F3192" s="1" t="str">
        <f>IFERROR(__xludf.DUMMYFUNCTION("GOOGLETRANSLATE(E3192, ""zh-CN"", ""en"")"),"Rongxian")</f>
        <v>Rongxian</v>
      </c>
      <c r="G3192" s="1">
        <v>4.50921E11</v>
      </c>
    </row>
    <row r="3193">
      <c r="A3193" s="1" t="s">
        <v>2851</v>
      </c>
      <c r="B3193" s="1" t="str">
        <f>IFERROR(__xludf.DUMMYFUNCTION("GOOGLETRANSLATE(A3119, ""zh-CN"", ""en"")"),"Guangxi Zhuang Autonomous Region")</f>
        <v>Guangxi Zhuang Autonomous Region</v>
      </c>
      <c r="C3193" s="1" t="s">
        <v>2860</v>
      </c>
      <c r="D3193" s="1" t="str">
        <f>IFERROR(__xludf.DUMMYFUNCTION("GOOGLETRANSLATE(C3193, ""zh-CN"", ""en"")"),"Yulin City")</f>
        <v>Yulin City</v>
      </c>
      <c r="E3193" s="1" t="s">
        <v>2931</v>
      </c>
      <c r="F3193" s="1" t="str">
        <f>IFERROR(__xludf.DUMMYFUNCTION("GOOGLETRANSLATE(E3193, ""zh-CN"", ""en"")"),"Luchuan County")</f>
        <v>Luchuan County</v>
      </c>
      <c r="G3193" s="1">
        <v>4.50922E11</v>
      </c>
    </row>
    <row r="3194">
      <c r="A3194" s="1" t="s">
        <v>2851</v>
      </c>
      <c r="B3194" s="1" t="str">
        <f>IFERROR(__xludf.DUMMYFUNCTION("GOOGLETRANSLATE(A3120, ""zh-CN"", ""en"")"),"Guangxi Zhuang Autonomous Region")</f>
        <v>Guangxi Zhuang Autonomous Region</v>
      </c>
      <c r="C3194" s="1" t="s">
        <v>2860</v>
      </c>
      <c r="D3194" s="1" t="str">
        <f>IFERROR(__xludf.DUMMYFUNCTION("GOOGLETRANSLATE(C3194, ""zh-CN"", ""en"")"),"Yulin City")</f>
        <v>Yulin City</v>
      </c>
      <c r="E3194" s="1" t="s">
        <v>2932</v>
      </c>
      <c r="F3194" s="1" t="str">
        <f>IFERROR(__xludf.DUMMYFUNCTION("GOOGLETRANSLATE(E3194, ""zh-CN"", ""en"")"),"Babai County")</f>
        <v>Babai County</v>
      </c>
      <c r="G3194" s="1">
        <v>4.50923E11</v>
      </c>
    </row>
    <row r="3195">
      <c r="A3195" s="1" t="s">
        <v>2851</v>
      </c>
      <c r="B3195" s="1" t="str">
        <f>IFERROR(__xludf.DUMMYFUNCTION("GOOGLETRANSLATE(A3121, ""zh-CN"", ""en"")"),"Guangxi Zhuang Autonomous Region")</f>
        <v>Guangxi Zhuang Autonomous Region</v>
      </c>
      <c r="C3195" s="1" t="s">
        <v>2860</v>
      </c>
      <c r="D3195" s="1" t="str">
        <f>IFERROR(__xludf.DUMMYFUNCTION("GOOGLETRANSLATE(C3195, ""zh-CN"", ""en"")"),"Yulin City")</f>
        <v>Yulin City</v>
      </c>
      <c r="E3195" s="1" t="s">
        <v>2933</v>
      </c>
      <c r="F3195" s="1" t="str">
        <f>IFERROR(__xludf.DUMMYFUNCTION("GOOGLETRANSLATE(E3195, ""zh-CN"", ""en"")"),"Xingye County")</f>
        <v>Xingye County</v>
      </c>
      <c r="G3195" s="1">
        <v>4.50924E11</v>
      </c>
    </row>
    <row r="3196">
      <c r="A3196" s="1" t="s">
        <v>2851</v>
      </c>
      <c r="B3196" s="1" t="str">
        <f>IFERROR(__xludf.DUMMYFUNCTION("GOOGLETRANSLATE(A3122, ""zh-CN"", ""en"")"),"Guangxi Zhuang Autonomous Region")</f>
        <v>Guangxi Zhuang Autonomous Region</v>
      </c>
      <c r="C3196" s="1" t="s">
        <v>2860</v>
      </c>
      <c r="D3196" s="1" t="str">
        <f>IFERROR(__xludf.DUMMYFUNCTION("GOOGLETRANSLATE(C3196, ""zh-CN"", ""en"")"),"Yulin City")</f>
        <v>Yulin City</v>
      </c>
      <c r="E3196" s="1" t="s">
        <v>2934</v>
      </c>
      <c r="F3196" s="1" t="str">
        <f>IFERROR(__xludf.DUMMYFUNCTION("GOOGLETRANSLATE(E3196, ""zh-CN"", ""en"")"),"Beiliu City")</f>
        <v>Beiliu City</v>
      </c>
      <c r="G3196" s="1">
        <v>4.50981E11</v>
      </c>
    </row>
    <row r="3197">
      <c r="A3197" s="1" t="s">
        <v>2851</v>
      </c>
      <c r="B3197" s="1" t="str">
        <f>IFERROR(__xludf.DUMMYFUNCTION("GOOGLETRANSLATE(A3123, ""zh-CN"", ""en"")"),"Guangxi Zhuang Autonomous Region")</f>
        <v>Guangxi Zhuang Autonomous Region</v>
      </c>
      <c r="C3197" s="1" t="s">
        <v>2861</v>
      </c>
      <c r="D3197" s="1" t="str">
        <f>IFERROR(__xludf.DUMMYFUNCTION("GOOGLETRANSLATE(C3197, ""zh-CN"", ""en"")"),"Best City")</f>
        <v>Best City</v>
      </c>
      <c r="E3197" s="1" t="s">
        <v>24</v>
      </c>
      <c r="F3197" s="1" t="str">
        <f>IFERROR(__xludf.DUMMYFUNCTION("GOOGLETRANSLATE(E3197, ""zh-CN"", ""en"")"),"City area")</f>
        <v>City area</v>
      </c>
      <c r="G3197" s="1">
        <v>4.51001E11</v>
      </c>
    </row>
    <row r="3198">
      <c r="A3198" s="1" t="s">
        <v>2851</v>
      </c>
      <c r="B3198" s="1" t="str">
        <f>IFERROR(__xludf.DUMMYFUNCTION("GOOGLETRANSLATE(A3124, ""zh-CN"", ""en"")"),"Guangxi Zhuang Autonomous Region")</f>
        <v>Guangxi Zhuang Autonomous Region</v>
      </c>
      <c r="C3198" s="1" t="s">
        <v>2861</v>
      </c>
      <c r="D3198" s="1" t="str">
        <f>IFERROR(__xludf.DUMMYFUNCTION("GOOGLETRANSLATE(C3198, ""zh-CN"", ""en"")"),"Best City")</f>
        <v>Best City</v>
      </c>
      <c r="E3198" s="1" t="s">
        <v>2935</v>
      </c>
      <c r="F3198" s="1" t="str">
        <f>IFERROR(__xludf.DUMMYFUNCTION("GOOGLETRANSLATE(E3198, ""zh-CN"", ""en"")"),"Youjiang District")</f>
        <v>Youjiang District</v>
      </c>
      <c r="G3198" s="1">
        <v>4.51002E11</v>
      </c>
    </row>
    <row r="3199">
      <c r="A3199" s="1" t="s">
        <v>2851</v>
      </c>
      <c r="B3199" s="1" t="str">
        <f>IFERROR(__xludf.DUMMYFUNCTION("GOOGLETRANSLATE(A3125, ""zh-CN"", ""en"")"),"Guangxi Zhuang Autonomous Region")</f>
        <v>Guangxi Zhuang Autonomous Region</v>
      </c>
      <c r="C3199" s="1" t="s">
        <v>2861</v>
      </c>
      <c r="D3199" s="1" t="str">
        <f>IFERROR(__xludf.DUMMYFUNCTION("GOOGLETRANSLATE(C3199, ""zh-CN"", ""en"")"),"Best City")</f>
        <v>Best City</v>
      </c>
      <c r="E3199" s="1" t="s">
        <v>2936</v>
      </c>
      <c r="F3199" s="1" t="str">
        <f>IFERROR(__xludf.DUMMYFUNCTION("GOOGLETRANSLATE(E3199, ""zh-CN"", ""en"")"),"Tianyang District")</f>
        <v>Tianyang District</v>
      </c>
      <c r="G3199" s="1">
        <v>4.51003E11</v>
      </c>
    </row>
    <row r="3200">
      <c r="A3200" s="1" t="s">
        <v>2851</v>
      </c>
      <c r="B3200" s="1" t="str">
        <f>IFERROR(__xludf.DUMMYFUNCTION("GOOGLETRANSLATE(A3126, ""zh-CN"", ""en"")"),"Guangxi Zhuang Autonomous Region")</f>
        <v>Guangxi Zhuang Autonomous Region</v>
      </c>
      <c r="C3200" s="1" t="s">
        <v>2861</v>
      </c>
      <c r="D3200" s="1" t="str">
        <f>IFERROR(__xludf.DUMMYFUNCTION("GOOGLETRANSLATE(C3200, ""zh-CN"", ""en"")"),"Best City")</f>
        <v>Best City</v>
      </c>
      <c r="E3200" s="1" t="s">
        <v>2937</v>
      </c>
      <c r="F3200" s="1" t="str">
        <f>IFERROR(__xludf.DUMMYFUNCTION("GOOGLETRANSLATE(E3200, ""zh-CN"", ""en"")"),"Tiandong County")</f>
        <v>Tiandong County</v>
      </c>
      <c r="G3200" s="1">
        <v>4.51022E11</v>
      </c>
    </row>
    <row r="3201">
      <c r="A3201" s="1" t="s">
        <v>2851</v>
      </c>
      <c r="B3201" s="1" t="str">
        <f>IFERROR(__xludf.DUMMYFUNCTION("GOOGLETRANSLATE(A3127, ""zh-CN"", ""en"")"),"Guangxi Zhuang Autonomous Region")</f>
        <v>Guangxi Zhuang Autonomous Region</v>
      </c>
      <c r="C3201" s="1" t="s">
        <v>2861</v>
      </c>
      <c r="D3201" s="1" t="str">
        <f>IFERROR(__xludf.DUMMYFUNCTION("GOOGLETRANSLATE(C3201, ""zh-CN"", ""en"")"),"Best City")</f>
        <v>Best City</v>
      </c>
      <c r="E3201" s="1" t="s">
        <v>2938</v>
      </c>
      <c r="F3201" s="1" t="str">
        <f>IFERROR(__xludf.DUMMYFUNCTION("GOOGLETRANSLATE(E3201, ""zh-CN"", ""en"")"),"Debao County")</f>
        <v>Debao County</v>
      </c>
      <c r="G3201" s="1">
        <v>4.51024E11</v>
      </c>
    </row>
    <row r="3202">
      <c r="A3202" s="1" t="s">
        <v>2851</v>
      </c>
      <c r="B3202" s="1" t="str">
        <f>IFERROR(__xludf.DUMMYFUNCTION("GOOGLETRANSLATE(A3128, ""zh-CN"", ""en"")"),"Guangxi Zhuang Autonomous Region")</f>
        <v>Guangxi Zhuang Autonomous Region</v>
      </c>
      <c r="C3202" s="1" t="s">
        <v>2861</v>
      </c>
      <c r="D3202" s="1" t="str">
        <f>IFERROR(__xludf.DUMMYFUNCTION("GOOGLETRANSLATE(C3202, ""zh-CN"", ""en"")"),"Best City")</f>
        <v>Best City</v>
      </c>
      <c r="E3202" s="1" t="s">
        <v>2939</v>
      </c>
      <c r="F3202" s="1" t="str">
        <f>IFERROR(__xludf.DUMMYFUNCTION("GOOGLETRANSLATE(E3202, ""zh-CN"", ""en"")"),"Naipo County")</f>
        <v>Naipo County</v>
      </c>
      <c r="G3202" s="1">
        <v>4.51026E11</v>
      </c>
    </row>
    <row r="3203">
      <c r="A3203" s="1" t="s">
        <v>2851</v>
      </c>
      <c r="B3203" s="1" t="str">
        <f>IFERROR(__xludf.DUMMYFUNCTION("GOOGLETRANSLATE(A3129, ""zh-CN"", ""en"")"),"Guangxi Zhuang Autonomous Region")</f>
        <v>Guangxi Zhuang Autonomous Region</v>
      </c>
      <c r="C3203" s="1" t="s">
        <v>2861</v>
      </c>
      <c r="D3203" s="1" t="str">
        <f>IFERROR(__xludf.DUMMYFUNCTION("GOOGLETRANSLATE(C3203, ""zh-CN"", ""en"")"),"Best City")</f>
        <v>Best City</v>
      </c>
      <c r="E3203" s="1" t="s">
        <v>2940</v>
      </c>
      <c r="F3203" s="1" t="str">
        <f>IFERROR(__xludf.DUMMYFUNCTION("GOOGLETRANSLATE(E3203, ""zh-CN"", ""en"")"),"Lingyun County")</f>
        <v>Lingyun County</v>
      </c>
      <c r="G3203" s="1">
        <v>4.51027E11</v>
      </c>
    </row>
    <row r="3204">
      <c r="A3204" s="1" t="s">
        <v>2851</v>
      </c>
      <c r="B3204" s="1" t="str">
        <f>IFERROR(__xludf.DUMMYFUNCTION("GOOGLETRANSLATE(A3130, ""zh-CN"", ""en"")"),"Guangxi Zhuang Autonomous Region")</f>
        <v>Guangxi Zhuang Autonomous Region</v>
      </c>
      <c r="C3204" s="1" t="s">
        <v>2861</v>
      </c>
      <c r="D3204" s="1" t="str">
        <f>IFERROR(__xludf.DUMMYFUNCTION("GOOGLETRANSLATE(C3204, ""zh-CN"", ""en"")"),"Best City")</f>
        <v>Best City</v>
      </c>
      <c r="E3204" s="1" t="s">
        <v>2941</v>
      </c>
      <c r="F3204" s="1" t="str">
        <f>IFERROR(__xludf.DUMMYFUNCTION("GOOGLETRANSLATE(E3204, ""zh-CN"", ""en"")"),"Leye County")</f>
        <v>Leye County</v>
      </c>
      <c r="G3204" s="1">
        <v>4.51028E11</v>
      </c>
    </row>
    <row r="3205">
      <c r="A3205" s="1" t="s">
        <v>2851</v>
      </c>
      <c r="B3205" s="1" t="str">
        <f>IFERROR(__xludf.DUMMYFUNCTION("GOOGLETRANSLATE(A3131, ""zh-CN"", ""en"")"),"Guangxi Zhuang Autonomous Region")</f>
        <v>Guangxi Zhuang Autonomous Region</v>
      </c>
      <c r="C3205" s="1" t="s">
        <v>2861</v>
      </c>
      <c r="D3205" s="1" t="str">
        <f>IFERROR(__xludf.DUMMYFUNCTION("GOOGLETRANSLATE(C3205, ""zh-CN"", ""en"")"),"Best City")</f>
        <v>Best City</v>
      </c>
      <c r="E3205" s="1" t="s">
        <v>2942</v>
      </c>
      <c r="F3205" s="1" t="str">
        <f>IFERROR(__xludf.DUMMYFUNCTION("GOOGLETRANSLATE(E3205, ""zh-CN"", ""en"")"),"Tianlin County")</f>
        <v>Tianlin County</v>
      </c>
      <c r="G3205" s="1">
        <v>4.51029E11</v>
      </c>
    </row>
    <row r="3206">
      <c r="A3206" s="1" t="s">
        <v>2851</v>
      </c>
      <c r="B3206" s="1" t="str">
        <f>IFERROR(__xludf.DUMMYFUNCTION("GOOGLETRANSLATE(A3132, ""zh-CN"", ""en"")"),"Guangxi Zhuang Autonomous Region")</f>
        <v>Guangxi Zhuang Autonomous Region</v>
      </c>
      <c r="C3206" s="1" t="s">
        <v>2861</v>
      </c>
      <c r="D3206" s="1" t="str">
        <f>IFERROR(__xludf.DUMMYFUNCTION("GOOGLETRANSLATE(C3206, ""zh-CN"", ""en"")"),"Best City")</f>
        <v>Best City</v>
      </c>
      <c r="E3206" s="1" t="s">
        <v>2943</v>
      </c>
      <c r="F3206" s="1" t="str">
        <f>IFERROR(__xludf.DUMMYFUNCTION("GOOGLETRANSLATE(E3206, ""zh-CN"", ""en"")"),"Xilin County")</f>
        <v>Xilin County</v>
      </c>
      <c r="G3206" s="1">
        <v>4.5103E11</v>
      </c>
    </row>
    <row r="3207">
      <c r="A3207" s="1" t="s">
        <v>2851</v>
      </c>
      <c r="B3207" s="1" t="str">
        <f>IFERROR(__xludf.DUMMYFUNCTION("GOOGLETRANSLATE(A3133, ""zh-CN"", ""en"")"),"Guangxi Zhuang Autonomous Region")</f>
        <v>Guangxi Zhuang Autonomous Region</v>
      </c>
      <c r="C3207" s="1" t="s">
        <v>2861</v>
      </c>
      <c r="D3207" s="1" t="str">
        <f>IFERROR(__xludf.DUMMYFUNCTION("GOOGLETRANSLATE(C3207, ""zh-CN"", ""en"")"),"Best City")</f>
        <v>Best City</v>
      </c>
      <c r="E3207" s="1" t="s">
        <v>2944</v>
      </c>
      <c r="F3207" s="1" t="str">
        <f>IFERROR(__xludf.DUMMYFUNCTION("GOOGLETRANSLATE(E3207, ""zh-CN"", ""en"")"),"Autonomous counties of all ethnic groups in Longlin")</f>
        <v>Autonomous counties of all ethnic groups in Longlin</v>
      </c>
      <c r="G3207" s="1">
        <v>4.51031E11</v>
      </c>
    </row>
    <row r="3208">
      <c r="A3208" s="1" t="s">
        <v>2851</v>
      </c>
      <c r="B3208" s="1" t="str">
        <f>IFERROR(__xludf.DUMMYFUNCTION("GOOGLETRANSLATE(A3134, ""zh-CN"", ""en"")"),"Guangxi Zhuang Autonomous Region")</f>
        <v>Guangxi Zhuang Autonomous Region</v>
      </c>
      <c r="C3208" s="1" t="s">
        <v>2861</v>
      </c>
      <c r="D3208" s="1" t="str">
        <f>IFERROR(__xludf.DUMMYFUNCTION("GOOGLETRANSLATE(C3208, ""zh-CN"", ""en"")"),"Best City")</f>
        <v>Best City</v>
      </c>
      <c r="E3208" s="1" t="s">
        <v>2945</v>
      </c>
      <c r="F3208" s="1" t="str">
        <f>IFERROR(__xludf.DUMMYFUNCTION("GOOGLETRANSLATE(E3208, ""zh-CN"", ""en"")"),"Jingxi City")</f>
        <v>Jingxi City</v>
      </c>
      <c r="G3208" s="1">
        <v>4.51081E11</v>
      </c>
    </row>
    <row r="3209">
      <c r="A3209" s="1" t="s">
        <v>2851</v>
      </c>
      <c r="B3209" s="1" t="str">
        <f>IFERROR(__xludf.DUMMYFUNCTION("GOOGLETRANSLATE(A3135, ""zh-CN"", ""en"")"),"Guangxi Zhuang Autonomous Region")</f>
        <v>Guangxi Zhuang Autonomous Region</v>
      </c>
      <c r="C3209" s="1" t="s">
        <v>2861</v>
      </c>
      <c r="D3209" s="1" t="str">
        <f>IFERROR(__xludf.DUMMYFUNCTION("GOOGLETRANSLATE(C3209, ""zh-CN"", ""en"")"),"Best City")</f>
        <v>Best City</v>
      </c>
      <c r="E3209" s="1" t="s">
        <v>2946</v>
      </c>
      <c r="F3209" s="1" t="str">
        <f>IFERROR(__xludf.DUMMYFUNCTION("GOOGLETRANSLATE(E3209, ""zh-CN"", ""en"")"),"Pingguo City")</f>
        <v>Pingguo City</v>
      </c>
      <c r="G3209" s="1">
        <v>4.51082E11</v>
      </c>
    </row>
    <row r="3210">
      <c r="A3210" s="1" t="s">
        <v>2851</v>
      </c>
      <c r="B3210" s="1" t="str">
        <f>IFERROR(__xludf.DUMMYFUNCTION("GOOGLETRANSLATE(A3136, ""zh-CN"", ""en"")"),"Guangxi Zhuang Autonomous Region")</f>
        <v>Guangxi Zhuang Autonomous Region</v>
      </c>
      <c r="C3210" s="1" t="s">
        <v>2862</v>
      </c>
      <c r="D3210" s="1" t="str">
        <f>IFERROR(__xludf.DUMMYFUNCTION("GOOGLETRANSLATE(C3210, ""zh-CN"", ""en"")"),"Hezhou")</f>
        <v>Hezhou</v>
      </c>
      <c r="E3210" s="1" t="s">
        <v>24</v>
      </c>
      <c r="F3210" s="1" t="str">
        <f>IFERROR(__xludf.DUMMYFUNCTION("GOOGLETRANSLATE(E3210, ""zh-CN"", ""en"")"),"City area")</f>
        <v>City area</v>
      </c>
      <c r="G3210" s="1">
        <v>4.51101E11</v>
      </c>
    </row>
    <row r="3211">
      <c r="A3211" s="1" t="s">
        <v>2851</v>
      </c>
      <c r="B3211" s="1" t="str">
        <f>IFERROR(__xludf.DUMMYFUNCTION("GOOGLETRANSLATE(A3137, ""zh-CN"", ""en"")"),"Guangxi Zhuang Autonomous Region")</f>
        <v>Guangxi Zhuang Autonomous Region</v>
      </c>
      <c r="C3211" s="1" t="s">
        <v>2862</v>
      </c>
      <c r="D3211" s="1" t="str">
        <f>IFERROR(__xludf.DUMMYFUNCTION("GOOGLETRANSLATE(C3211, ""zh-CN"", ""en"")"),"Hezhou")</f>
        <v>Hezhou</v>
      </c>
      <c r="E3211" s="1" t="s">
        <v>2947</v>
      </c>
      <c r="F3211" s="1" t="str">
        <f>IFERROR(__xludf.DUMMYFUNCTION("GOOGLETRANSLATE(E3211, ""zh-CN"", ""en"")"),"Eight steps")</f>
        <v>Eight steps</v>
      </c>
      <c r="G3211" s="1">
        <v>4.51102E11</v>
      </c>
    </row>
    <row r="3212">
      <c r="A3212" s="1" t="s">
        <v>2851</v>
      </c>
      <c r="B3212" s="1" t="str">
        <f>IFERROR(__xludf.DUMMYFUNCTION("GOOGLETRANSLATE(A3138, ""zh-CN"", ""en"")"),"Guangxi Zhuang Autonomous Region")</f>
        <v>Guangxi Zhuang Autonomous Region</v>
      </c>
      <c r="C3212" s="1" t="s">
        <v>2862</v>
      </c>
      <c r="D3212" s="1" t="str">
        <f>IFERROR(__xludf.DUMMYFUNCTION("GOOGLETRANSLATE(C3212, ""zh-CN"", ""en"")"),"Hezhou")</f>
        <v>Hezhou</v>
      </c>
      <c r="E3212" s="1" t="s">
        <v>2948</v>
      </c>
      <c r="F3212" s="1" t="str">
        <f>IFERROR(__xludf.DUMMYFUNCTION("GOOGLETRANSLATE(E3212, ""zh-CN"", ""en"")"),"Pinggui District")</f>
        <v>Pinggui District</v>
      </c>
      <c r="G3212" s="1">
        <v>4.51103E11</v>
      </c>
    </row>
    <row r="3213">
      <c r="A3213" s="1" t="s">
        <v>2851</v>
      </c>
      <c r="B3213" s="1" t="str">
        <f>IFERROR(__xludf.DUMMYFUNCTION("GOOGLETRANSLATE(A3139, ""zh-CN"", ""en"")"),"Guangxi Zhuang Autonomous Region")</f>
        <v>Guangxi Zhuang Autonomous Region</v>
      </c>
      <c r="C3213" s="1" t="s">
        <v>2862</v>
      </c>
      <c r="D3213" s="1" t="str">
        <f>IFERROR(__xludf.DUMMYFUNCTION("GOOGLETRANSLATE(C3213, ""zh-CN"", ""en"")"),"Hezhou")</f>
        <v>Hezhou</v>
      </c>
      <c r="E3213" s="1" t="s">
        <v>2949</v>
      </c>
      <c r="F3213" s="1" t="str">
        <f>IFERROR(__xludf.DUMMYFUNCTION("GOOGLETRANSLATE(E3213, ""zh-CN"", ""en"")"),"Zhaoping County")</f>
        <v>Zhaoping County</v>
      </c>
      <c r="G3213" s="1">
        <v>4.51121E11</v>
      </c>
    </row>
    <row r="3214">
      <c r="A3214" s="1" t="s">
        <v>2851</v>
      </c>
      <c r="B3214" s="1" t="str">
        <f>IFERROR(__xludf.DUMMYFUNCTION("GOOGLETRANSLATE(A3140, ""zh-CN"", ""en"")"),"Guangxi Zhuang Autonomous Region")</f>
        <v>Guangxi Zhuang Autonomous Region</v>
      </c>
      <c r="C3214" s="1" t="s">
        <v>2862</v>
      </c>
      <c r="D3214" s="1" t="str">
        <f>IFERROR(__xludf.DUMMYFUNCTION("GOOGLETRANSLATE(C3214, ""zh-CN"", ""en"")"),"Hezhou")</f>
        <v>Hezhou</v>
      </c>
      <c r="E3214" s="1" t="s">
        <v>2950</v>
      </c>
      <c r="F3214" s="1" t="str">
        <f>IFERROR(__xludf.DUMMYFUNCTION("GOOGLETRANSLATE(E3214, ""zh-CN"", ""en"")"),"Zhongshan County")</f>
        <v>Zhongshan County</v>
      </c>
      <c r="G3214" s="1">
        <v>4.51122E11</v>
      </c>
    </row>
    <row r="3215">
      <c r="A3215" s="1" t="s">
        <v>2851</v>
      </c>
      <c r="B3215" s="1" t="str">
        <f>IFERROR(__xludf.DUMMYFUNCTION("GOOGLETRANSLATE(A3141, ""zh-CN"", ""en"")"),"Guangxi Zhuang Autonomous Region")</f>
        <v>Guangxi Zhuang Autonomous Region</v>
      </c>
      <c r="C3215" s="1" t="s">
        <v>2862</v>
      </c>
      <c r="D3215" s="1" t="str">
        <f>IFERROR(__xludf.DUMMYFUNCTION("GOOGLETRANSLATE(C3215, ""zh-CN"", ""en"")"),"Hezhou")</f>
        <v>Hezhou</v>
      </c>
      <c r="E3215" s="1" t="s">
        <v>2951</v>
      </c>
      <c r="F3215" s="1" t="str">
        <f>IFERROR(__xludf.DUMMYFUNCTION("GOOGLETRANSLATE(E3215, ""zh-CN"", ""en"")"),"Fuchuan Yao Autonomous County")</f>
        <v>Fuchuan Yao Autonomous County</v>
      </c>
      <c r="G3215" s="1">
        <v>4.51123E11</v>
      </c>
    </row>
    <row r="3216">
      <c r="A3216" s="1" t="s">
        <v>2851</v>
      </c>
      <c r="B3216" s="1" t="str">
        <f>IFERROR(__xludf.DUMMYFUNCTION("GOOGLETRANSLATE(A3142, ""zh-CN"", ""en"")"),"Guangxi Zhuang Autonomous Region")</f>
        <v>Guangxi Zhuang Autonomous Region</v>
      </c>
      <c r="C3216" s="1" t="s">
        <v>2863</v>
      </c>
      <c r="D3216" s="1" t="str">
        <f>IFERROR(__xludf.DUMMYFUNCTION("GOOGLETRANSLATE(C3216, ""zh-CN"", ""en"")"),"Hechi City")</f>
        <v>Hechi City</v>
      </c>
      <c r="E3216" s="1" t="s">
        <v>24</v>
      </c>
      <c r="F3216" s="1" t="str">
        <f>IFERROR(__xludf.DUMMYFUNCTION("GOOGLETRANSLATE(E3216, ""zh-CN"", ""en"")"),"City area")</f>
        <v>City area</v>
      </c>
      <c r="G3216" s="1">
        <v>4.51201E11</v>
      </c>
    </row>
    <row r="3217">
      <c r="A3217" s="1" t="s">
        <v>2851</v>
      </c>
      <c r="B3217" s="1" t="str">
        <f>IFERROR(__xludf.DUMMYFUNCTION("GOOGLETRANSLATE(A3143, ""zh-CN"", ""en"")"),"Guangxi Zhuang Autonomous Region")</f>
        <v>Guangxi Zhuang Autonomous Region</v>
      </c>
      <c r="C3217" s="1" t="s">
        <v>2863</v>
      </c>
      <c r="D3217" s="1" t="str">
        <f>IFERROR(__xludf.DUMMYFUNCTION("GOOGLETRANSLATE(C3217, ""zh-CN"", ""en"")"),"Hechi City")</f>
        <v>Hechi City</v>
      </c>
      <c r="E3217" s="1" t="s">
        <v>2952</v>
      </c>
      <c r="F3217" s="1" t="str">
        <f>IFERROR(__xludf.DUMMYFUNCTION("GOOGLETRANSLATE(E3217, ""zh-CN"", ""en"")"),"Jinshengjiang District")</f>
        <v>Jinshengjiang District</v>
      </c>
      <c r="G3217" s="1">
        <v>4.51202E11</v>
      </c>
    </row>
    <row r="3218">
      <c r="A3218" s="1" t="s">
        <v>2851</v>
      </c>
      <c r="B3218" s="1" t="str">
        <f>IFERROR(__xludf.DUMMYFUNCTION("GOOGLETRANSLATE(A3144, ""zh-CN"", ""en"")"),"Guangxi Zhuang Autonomous Region")</f>
        <v>Guangxi Zhuang Autonomous Region</v>
      </c>
      <c r="C3218" s="1" t="s">
        <v>2863</v>
      </c>
      <c r="D3218" s="1" t="str">
        <f>IFERROR(__xludf.DUMMYFUNCTION("GOOGLETRANSLATE(C3218, ""zh-CN"", ""en"")"),"Hechi City")</f>
        <v>Hechi City</v>
      </c>
      <c r="E3218" s="1" t="s">
        <v>2953</v>
      </c>
      <c r="F3218" s="1" t="str">
        <f>IFERROR(__xludf.DUMMYFUNCTION("GOOGLETRANSLATE(E3218, ""zh-CN"", ""en"")"),"Yizhou District")</f>
        <v>Yizhou District</v>
      </c>
      <c r="G3218" s="1">
        <v>4.51203E11</v>
      </c>
    </row>
    <row r="3219">
      <c r="A3219" s="1" t="s">
        <v>2851</v>
      </c>
      <c r="B3219" s="1" t="str">
        <f>IFERROR(__xludf.DUMMYFUNCTION("GOOGLETRANSLATE(A3145, ""zh-CN"", ""en"")"),"Guangxi Zhuang Autonomous Region")</f>
        <v>Guangxi Zhuang Autonomous Region</v>
      </c>
      <c r="C3219" s="1" t="s">
        <v>2863</v>
      </c>
      <c r="D3219" s="1" t="str">
        <f>IFERROR(__xludf.DUMMYFUNCTION("GOOGLETRANSLATE(C3219, ""zh-CN"", ""en"")"),"Hechi City")</f>
        <v>Hechi City</v>
      </c>
      <c r="E3219" s="1" t="s">
        <v>2954</v>
      </c>
      <c r="F3219" s="1" t="str">
        <f>IFERROR(__xludf.DUMMYFUNCTION("GOOGLETRANSLATE(E3219, ""zh-CN"", ""en"")"),"Nandan County")</f>
        <v>Nandan County</v>
      </c>
      <c r="G3219" s="1">
        <v>4.51221E11</v>
      </c>
    </row>
    <row r="3220">
      <c r="A3220" s="1" t="s">
        <v>2851</v>
      </c>
      <c r="B3220" s="1" t="str">
        <f>IFERROR(__xludf.DUMMYFUNCTION("GOOGLETRANSLATE(A3146, ""zh-CN"", ""en"")"),"Guangxi Zhuang Autonomous Region")</f>
        <v>Guangxi Zhuang Autonomous Region</v>
      </c>
      <c r="C3220" s="1" t="s">
        <v>2863</v>
      </c>
      <c r="D3220" s="1" t="str">
        <f>IFERROR(__xludf.DUMMYFUNCTION("GOOGLETRANSLATE(C3220, ""zh-CN"", ""en"")"),"Hechi City")</f>
        <v>Hechi City</v>
      </c>
      <c r="E3220" s="1" t="s">
        <v>2955</v>
      </c>
      <c r="F3220" s="1" t="str">
        <f>IFERROR(__xludf.DUMMYFUNCTION("GOOGLETRANSLATE(E3220, ""zh-CN"", ""en"")"),"Tian'e County")</f>
        <v>Tian'e County</v>
      </c>
      <c r="G3220" s="1">
        <v>4.51222E11</v>
      </c>
    </row>
    <row r="3221">
      <c r="A3221" s="1" t="s">
        <v>2851</v>
      </c>
      <c r="B3221" s="1" t="str">
        <f>IFERROR(__xludf.DUMMYFUNCTION("GOOGLETRANSLATE(A3147, ""zh-CN"", ""en"")"),"Guangxi Zhuang Autonomous Region")</f>
        <v>Guangxi Zhuang Autonomous Region</v>
      </c>
      <c r="C3221" s="1" t="s">
        <v>2863</v>
      </c>
      <c r="D3221" s="1" t="str">
        <f>IFERROR(__xludf.DUMMYFUNCTION("GOOGLETRANSLATE(C3221, ""zh-CN"", ""en"")"),"Hechi City")</f>
        <v>Hechi City</v>
      </c>
      <c r="E3221" s="1" t="s">
        <v>2956</v>
      </c>
      <c r="F3221" s="1" t="str">
        <f>IFERROR(__xludf.DUMMYFUNCTION("GOOGLETRANSLATE(E3221, ""zh-CN"", ""en"")"),"Fengshan County")</f>
        <v>Fengshan County</v>
      </c>
      <c r="G3221" s="1">
        <v>4.51223E11</v>
      </c>
    </row>
    <row r="3222">
      <c r="A3222" s="1" t="s">
        <v>2851</v>
      </c>
      <c r="B3222" s="1" t="str">
        <f>IFERROR(__xludf.DUMMYFUNCTION("GOOGLETRANSLATE(A3148, ""zh-CN"", ""en"")"),"Guangxi Zhuang Autonomous Region")</f>
        <v>Guangxi Zhuang Autonomous Region</v>
      </c>
      <c r="C3222" s="1" t="s">
        <v>2863</v>
      </c>
      <c r="D3222" s="1" t="str">
        <f>IFERROR(__xludf.DUMMYFUNCTION("GOOGLETRANSLATE(C3222, ""zh-CN"", ""en"")"),"Hechi City")</f>
        <v>Hechi City</v>
      </c>
      <c r="E3222" s="1" t="s">
        <v>2957</v>
      </c>
      <c r="F3222" s="1" t="str">
        <f>IFERROR(__xludf.DUMMYFUNCTION("GOOGLETRANSLATE(E3222, ""zh-CN"", ""en"")"),"Donglan County")</f>
        <v>Donglan County</v>
      </c>
      <c r="G3222" s="1">
        <v>4.51224E11</v>
      </c>
    </row>
    <row r="3223">
      <c r="A3223" s="1" t="s">
        <v>2851</v>
      </c>
      <c r="B3223" s="1" t="str">
        <f>IFERROR(__xludf.DUMMYFUNCTION("GOOGLETRANSLATE(A3149, ""zh-CN"", ""en"")"),"Guangxi Zhuang Autonomous Region")</f>
        <v>Guangxi Zhuang Autonomous Region</v>
      </c>
      <c r="C3223" s="1" t="s">
        <v>2863</v>
      </c>
      <c r="D3223" s="1" t="str">
        <f>IFERROR(__xludf.DUMMYFUNCTION("GOOGLETRANSLATE(C3223, ""zh-CN"", ""en"")"),"Hechi City")</f>
        <v>Hechi City</v>
      </c>
      <c r="E3223" s="1" t="s">
        <v>2958</v>
      </c>
      <c r="F3223" s="1" t="str">
        <f>IFERROR(__xludf.DUMMYFUNCTION("GOOGLETRANSLATE(E3223, ""zh-CN"", ""en"")"),"Luocheng 族 Autonomous County")</f>
        <v>Luocheng 族 Autonomous County</v>
      </c>
      <c r="G3223" s="1">
        <v>4.51225E11</v>
      </c>
    </row>
    <row r="3224">
      <c r="A3224" s="1" t="s">
        <v>2851</v>
      </c>
      <c r="B3224" s="1" t="str">
        <f>IFERROR(__xludf.DUMMYFUNCTION("GOOGLETRANSLATE(A3150, ""zh-CN"", ""en"")"),"Guangxi Zhuang Autonomous Region")</f>
        <v>Guangxi Zhuang Autonomous Region</v>
      </c>
      <c r="C3224" s="1" t="s">
        <v>2863</v>
      </c>
      <c r="D3224" s="1" t="str">
        <f>IFERROR(__xludf.DUMMYFUNCTION("GOOGLETRANSLATE(C3224, ""zh-CN"", ""en"")"),"Hechi City")</f>
        <v>Hechi City</v>
      </c>
      <c r="E3224" s="1" t="s">
        <v>2959</v>
      </c>
      <c r="F3224" s="1" t="str">
        <f>IFERROR(__xludf.DUMMYFUNCTION("GOOGLETRANSLATE(E3224, ""zh-CN"", ""en"")"),"Huanjiang Maonan Autonomous County")</f>
        <v>Huanjiang Maonan Autonomous County</v>
      </c>
      <c r="G3224" s="1">
        <v>4.51226E11</v>
      </c>
    </row>
    <row r="3225">
      <c r="A3225" s="1" t="s">
        <v>2851</v>
      </c>
      <c r="B3225" s="1" t="str">
        <f>IFERROR(__xludf.DUMMYFUNCTION("GOOGLETRANSLATE(A3151, ""zh-CN"", ""en"")"),"Guangxi Zhuang Autonomous Region")</f>
        <v>Guangxi Zhuang Autonomous Region</v>
      </c>
      <c r="C3225" s="1" t="s">
        <v>2863</v>
      </c>
      <c r="D3225" s="1" t="str">
        <f>IFERROR(__xludf.DUMMYFUNCTION("GOOGLETRANSLATE(C3225, ""zh-CN"", ""en"")"),"Hechi City")</f>
        <v>Hechi City</v>
      </c>
      <c r="E3225" s="1" t="s">
        <v>2960</v>
      </c>
      <c r="F3225" s="1" t="str">
        <f>IFERROR(__xludf.DUMMYFUNCTION("GOOGLETRANSLATE(E3225, ""zh-CN"", ""en"")"),"Bama Yao Autonomous County")</f>
        <v>Bama Yao Autonomous County</v>
      </c>
      <c r="G3225" s="1">
        <v>4.51227E11</v>
      </c>
    </row>
    <row r="3226">
      <c r="A3226" s="1" t="s">
        <v>2851</v>
      </c>
      <c r="B3226" s="1" t="str">
        <f>IFERROR(__xludf.DUMMYFUNCTION("GOOGLETRANSLATE(A3152, ""zh-CN"", ""en"")"),"Guangxi Zhuang Autonomous Region")</f>
        <v>Guangxi Zhuang Autonomous Region</v>
      </c>
      <c r="C3226" s="1" t="s">
        <v>2863</v>
      </c>
      <c r="D3226" s="1" t="str">
        <f>IFERROR(__xludf.DUMMYFUNCTION("GOOGLETRANSLATE(C3226, ""zh-CN"", ""en"")"),"Hechi City")</f>
        <v>Hechi City</v>
      </c>
      <c r="E3226" s="1" t="s">
        <v>2961</v>
      </c>
      <c r="F3226" s="1" t="str">
        <f>IFERROR(__xludf.DUMMYFUNCTION("GOOGLETRANSLATE(E3226, ""zh-CN"", ""en"")"),"Du'an Yao Autonomous County")</f>
        <v>Du'an Yao Autonomous County</v>
      </c>
      <c r="G3226" s="1">
        <v>4.51228E11</v>
      </c>
    </row>
    <row r="3227">
      <c r="A3227" s="1" t="s">
        <v>2851</v>
      </c>
      <c r="B3227" s="1" t="str">
        <f>IFERROR(__xludf.DUMMYFUNCTION("GOOGLETRANSLATE(A3153, ""zh-CN"", ""en"")"),"Guangxi Zhuang Autonomous Region")</f>
        <v>Guangxi Zhuang Autonomous Region</v>
      </c>
      <c r="C3227" s="1" t="s">
        <v>2863</v>
      </c>
      <c r="D3227" s="1" t="str">
        <f>IFERROR(__xludf.DUMMYFUNCTION("GOOGLETRANSLATE(C3227, ""zh-CN"", ""en"")"),"Hechi City")</f>
        <v>Hechi City</v>
      </c>
      <c r="E3227" s="1" t="s">
        <v>2962</v>
      </c>
      <c r="F3227" s="1" t="str">
        <f>IFERROR(__xludf.DUMMYFUNCTION("GOOGLETRANSLATE(E3227, ""zh-CN"", ""en"")"),"Dahua Yao Autonomous County")</f>
        <v>Dahua Yao Autonomous County</v>
      </c>
      <c r="G3227" s="1">
        <v>4.51229E11</v>
      </c>
    </row>
    <row r="3228">
      <c r="A3228" s="1" t="s">
        <v>2851</v>
      </c>
      <c r="B3228" s="1" t="str">
        <f>IFERROR(__xludf.DUMMYFUNCTION("GOOGLETRANSLATE(A3154, ""zh-CN"", ""en"")"),"Guangxi Zhuang Autonomous Region")</f>
        <v>Guangxi Zhuang Autonomous Region</v>
      </c>
      <c r="C3228" s="1" t="s">
        <v>2864</v>
      </c>
      <c r="D3228" s="1" t="str">
        <f>IFERROR(__xludf.DUMMYFUNCTION("GOOGLETRANSLATE(C3228, ""zh-CN"", ""en"")"),"Guest city")</f>
        <v>Guest city</v>
      </c>
      <c r="E3228" s="1" t="s">
        <v>24</v>
      </c>
      <c r="F3228" s="1" t="str">
        <f>IFERROR(__xludf.DUMMYFUNCTION("GOOGLETRANSLATE(E3228, ""zh-CN"", ""en"")"),"City area")</f>
        <v>City area</v>
      </c>
      <c r="G3228" s="1">
        <v>4.51301E11</v>
      </c>
    </row>
    <row r="3229">
      <c r="A3229" s="1" t="s">
        <v>2851</v>
      </c>
      <c r="B3229" s="1" t="str">
        <f>IFERROR(__xludf.DUMMYFUNCTION("GOOGLETRANSLATE(A3155, ""zh-CN"", ""en"")"),"Guangxi Zhuang Autonomous Region")</f>
        <v>Guangxi Zhuang Autonomous Region</v>
      </c>
      <c r="C3229" s="1" t="s">
        <v>2864</v>
      </c>
      <c r="D3229" s="1" t="str">
        <f>IFERROR(__xludf.DUMMYFUNCTION("GOOGLETRANSLATE(C3229, ""zh-CN"", ""en"")"),"Guest city")</f>
        <v>Guest city</v>
      </c>
      <c r="E3229" s="1" t="s">
        <v>2963</v>
      </c>
      <c r="F3229" s="1" t="str">
        <f>IFERROR(__xludf.DUMMYFUNCTION("GOOGLETRANSLATE(E3229, ""zh-CN"", ""en"")"),"Xingbin District")</f>
        <v>Xingbin District</v>
      </c>
      <c r="G3229" s="1">
        <v>4.51302E11</v>
      </c>
    </row>
    <row r="3230">
      <c r="A3230" s="1" t="s">
        <v>2851</v>
      </c>
      <c r="B3230" s="1" t="str">
        <f>IFERROR(__xludf.DUMMYFUNCTION("GOOGLETRANSLATE(A3156, ""zh-CN"", ""en"")"),"Guangxi Zhuang Autonomous Region")</f>
        <v>Guangxi Zhuang Autonomous Region</v>
      </c>
      <c r="C3230" s="1" t="s">
        <v>2864</v>
      </c>
      <c r="D3230" s="1" t="str">
        <f>IFERROR(__xludf.DUMMYFUNCTION("GOOGLETRANSLATE(C3230, ""zh-CN"", ""en"")"),"Guest city")</f>
        <v>Guest city</v>
      </c>
      <c r="E3230" s="1" t="s">
        <v>2964</v>
      </c>
      <c r="F3230" s="1" t="str">
        <f>IFERROR(__xludf.DUMMYFUNCTION("GOOGLETRANSLATE(E3230, ""zh-CN"", ""en"")"),"Xincheng County")</f>
        <v>Xincheng County</v>
      </c>
      <c r="G3230" s="1">
        <v>4.51321E11</v>
      </c>
    </row>
    <row r="3231">
      <c r="A3231" s="1" t="s">
        <v>2851</v>
      </c>
      <c r="B3231" s="1" t="str">
        <f>IFERROR(__xludf.DUMMYFUNCTION("GOOGLETRANSLATE(A3157, ""zh-CN"", ""en"")"),"Guangxi Zhuang Autonomous Region")</f>
        <v>Guangxi Zhuang Autonomous Region</v>
      </c>
      <c r="C3231" s="1" t="s">
        <v>2864</v>
      </c>
      <c r="D3231" s="1" t="str">
        <f>IFERROR(__xludf.DUMMYFUNCTION("GOOGLETRANSLATE(C3231, ""zh-CN"", ""en"")"),"Guest city")</f>
        <v>Guest city</v>
      </c>
      <c r="E3231" s="1" t="s">
        <v>2965</v>
      </c>
      <c r="F3231" s="1" t="str">
        <f>IFERROR(__xludf.DUMMYFUNCTION("GOOGLETRANSLATE(E3231, ""zh-CN"", ""en"")"),"Xiangzhou County")</f>
        <v>Xiangzhou County</v>
      </c>
      <c r="G3231" s="1">
        <v>4.51322E11</v>
      </c>
    </row>
    <row r="3232">
      <c r="A3232" s="1" t="s">
        <v>2851</v>
      </c>
      <c r="B3232" s="1" t="str">
        <f>IFERROR(__xludf.DUMMYFUNCTION("GOOGLETRANSLATE(A3158, ""zh-CN"", ""en"")"),"Guangxi Zhuang Autonomous Region")</f>
        <v>Guangxi Zhuang Autonomous Region</v>
      </c>
      <c r="C3232" s="1" t="s">
        <v>2864</v>
      </c>
      <c r="D3232" s="1" t="str">
        <f>IFERROR(__xludf.DUMMYFUNCTION("GOOGLETRANSLATE(C3232, ""zh-CN"", ""en"")"),"Guest city")</f>
        <v>Guest city</v>
      </c>
      <c r="E3232" s="1" t="s">
        <v>2966</v>
      </c>
      <c r="F3232" s="1" t="str">
        <f>IFERROR(__xludf.DUMMYFUNCTION("GOOGLETRANSLATE(E3232, ""zh-CN"", ""en"")"),"Wuxuan County")</f>
        <v>Wuxuan County</v>
      </c>
      <c r="G3232" s="1">
        <v>4.51323E11</v>
      </c>
    </row>
    <row r="3233">
      <c r="A3233" s="1" t="s">
        <v>2851</v>
      </c>
      <c r="B3233" s="1" t="str">
        <f>IFERROR(__xludf.DUMMYFUNCTION("GOOGLETRANSLATE(A3159, ""zh-CN"", ""en"")"),"Guangxi Zhuang Autonomous Region")</f>
        <v>Guangxi Zhuang Autonomous Region</v>
      </c>
      <c r="C3233" s="1" t="s">
        <v>2864</v>
      </c>
      <c r="D3233" s="1" t="str">
        <f>IFERROR(__xludf.DUMMYFUNCTION("GOOGLETRANSLATE(C3233, ""zh-CN"", ""en"")"),"Guest city")</f>
        <v>Guest city</v>
      </c>
      <c r="E3233" s="1" t="s">
        <v>2967</v>
      </c>
      <c r="F3233" s="1" t="str">
        <f>IFERROR(__xludf.DUMMYFUNCTION("GOOGLETRANSLATE(E3233, ""zh-CN"", ""en"")"),"Jinxiu Yao Autonomous County")</f>
        <v>Jinxiu Yao Autonomous County</v>
      </c>
      <c r="G3233" s="1">
        <v>4.51324E11</v>
      </c>
    </row>
    <row r="3234">
      <c r="A3234" s="1" t="s">
        <v>2851</v>
      </c>
      <c r="B3234" s="1" t="str">
        <f>IFERROR(__xludf.DUMMYFUNCTION("GOOGLETRANSLATE(A3160, ""zh-CN"", ""en"")"),"Guangxi Zhuang Autonomous Region")</f>
        <v>Guangxi Zhuang Autonomous Region</v>
      </c>
      <c r="C3234" s="1" t="s">
        <v>2864</v>
      </c>
      <c r="D3234" s="1" t="str">
        <f>IFERROR(__xludf.DUMMYFUNCTION("GOOGLETRANSLATE(C3234, ""zh-CN"", ""en"")"),"Guest city")</f>
        <v>Guest city</v>
      </c>
      <c r="E3234" s="1" t="s">
        <v>2968</v>
      </c>
      <c r="F3234" s="1" t="str">
        <f>IFERROR(__xludf.DUMMYFUNCTION("GOOGLETRANSLATE(E3234, ""zh-CN"", ""en"")"),"Heshan City")</f>
        <v>Heshan City</v>
      </c>
      <c r="G3234" s="1">
        <v>4.51381E11</v>
      </c>
    </row>
    <row r="3235">
      <c r="A3235" s="1" t="s">
        <v>2851</v>
      </c>
      <c r="B3235" s="1" t="str">
        <f>IFERROR(__xludf.DUMMYFUNCTION("GOOGLETRANSLATE(A3161, ""zh-CN"", ""en"")"),"Guangxi Zhuang Autonomous Region")</f>
        <v>Guangxi Zhuang Autonomous Region</v>
      </c>
      <c r="C3235" s="1" t="s">
        <v>2865</v>
      </c>
      <c r="D3235" s="1" t="str">
        <f>IFERROR(__xludf.DUMMYFUNCTION("GOOGLETRANSLATE(C3235, ""zh-CN"", ""en"")"),"Chongzuo City")</f>
        <v>Chongzuo City</v>
      </c>
      <c r="E3235" s="1" t="s">
        <v>24</v>
      </c>
      <c r="F3235" s="1" t="str">
        <f>IFERROR(__xludf.DUMMYFUNCTION("GOOGLETRANSLATE(E3235, ""zh-CN"", ""en"")"),"City area")</f>
        <v>City area</v>
      </c>
      <c r="G3235" s="1">
        <v>4.51401E11</v>
      </c>
    </row>
    <row r="3236">
      <c r="A3236" s="1" t="s">
        <v>2851</v>
      </c>
      <c r="B3236" s="1" t="str">
        <f>IFERROR(__xludf.DUMMYFUNCTION("GOOGLETRANSLATE(A3162, ""zh-CN"", ""en"")"),"Guangxi Zhuang Autonomous Region")</f>
        <v>Guangxi Zhuang Autonomous Region</v>
      </c>
      <c r="C3236" s="1" t="s">
        <v>2865</v>
      </c>
      <c r="D3236" s="1" t="str">
        <f>IFERROR(__xludf.DUMMYFUNCTION("GOOGLETRANSLATE(C3236, ""zh-CN"", ""en"")"),"Chongzuo City")</f>
        <v>Chongzuo City</v>
      </c>
      <c r="E3236" s="1" t="s">
        <v>2969</v>
      </c>
      <c r="F3236" s="1" t="str">
        <f>IFERROR(__xludf.DUMMYFUNCTION("GOOGLETRANSLATE(E3236, ""zh-CN"", ""en"")"),"Jiangzhou District")</f>
        <v>Jiangzhou District</v>
      </c>
      <c r="G3236" s="1">
        <v>4.51402E11</v>
      </c>
    </row>
    <row r="3237">
      <c r="A3237" s="1" t="s">
        <v>2851</v>
      </c>
      <c r="B3237" s="1" t="str">
        <f>IFERROR(__xludf.DUMMYFUNCTION("GOOGLETRANSLATE(A3163, ""zh-CN"", ""en"")"),"Guangxi Zhuang Autonomous Region")</f>
        <v>Guangxi Zhuang Autonomous Region</v>
      </c>
      <c r="C3237" s="1" t="s">
        <v>2865</v>
      </c>
      <c r="D3237" s="1" t="str">
        <f>IFERROR(__xludf.DUMMYFUNCTION("GOOGLETRANSLATE(C3237, ""zh-CN"", ""en"")"),"Chongzuo City")</f>
        <v>Chongzuo City</v>
      </c>
      <c r="E3237" s="1" t="s">
        <v>2970</v>
      </c>
      <c r="F3237" s="1" t="str">
        <f>IFERROR(__xludf.DUMMYFUNCTION("GOOGLETRANSLATE(E3237, ""zh-CN"", ""en"")"),"Fusui County")</f>
        <v>Fusui County</v>
      </c>
      <c r="G3237" s="1">
        <v>4.51421E11</v>
      </c>
    </row>
    <row r="3238">
      <c r="A3238" s="1" t="s">
        <v>2851</v>
      </c>
      <c r="B3238" s="1" t="str">
        <f>IFERROR(__xludf.DUMMYFUNCTION("GOOGLETRANSLATE(A3164, ""zh-CN"", ""en"")"),"Guangxi Zhuang Autonomous Region")</f>
        <v>Guangxi Zhuang Autonomous Region</v>
      </c>
      <c r="C3238" s="1" t="s">
        <v>2865</v>
      </c>
      <c r="D3238" s="1" t="str">
        <f>IFERROR(__xludf.DUMMYFUNCTION("GOOGLETRANSLATE(C3238, ""zh-CN"", ""en"")"),"Chongzuo City")</f>
        <v>Chongzuo City</v>
      </c>
      <c r="E3238" s="1" t="s">
        <v>2971</v>
      </c>
      <c r="F3238" s="1" t="str">
        <f>IFERROR(__xludf.DUMMYFUNCTION("GOOGLETRANSLATE(E3238, ""zh-CN"", ""en"")"),"Ningming County")</f>
        <v>Ningming County</v>
      </c>
      <c r="G3238" s="1">
        <v>4.51422E11</v>
      </c>
    </row>
    <row r="3239">
      <c r="A3239" s="1" t="s">
        <v>2851</v>
      </c>
      <c r="B3239" s="1" t="str">
        <f>IFERROR(__xludf.DUMMYFUNCTION("GOOGLETRANSLATE(A3165, ""zh-CN"", ""en"")"),"Guangxi Zhuang Autonomous Region")</f>
        <v>Guangxi Zhuang Autonomous Region</v>
      </c>
      <c r="C3239" s="1" t="s">
        <v>2865</v>
      </c>
      <c r="D3239" s="1" t="str">
        <f>IFERROR(__xludf.DUMMYFUNCTION("GOOGLETRANSLATE(C3239, ""zh-CN"", ""en"")"),"Chongzuo City")</f>
        <v>Chongzuo City</v>
      </c>
      <c r="E3239" s="1" t="s">
        <v>2972</v>
      </c>
      <c r="F3239" s="1" t="str">
        <f>IFERROR(__xludf.DUMMYFUNCTION("GOOGLETRANSLATE(E3239, ""zh-CN"", ""en"")"),"Longzhou County")</f>
        <v>Longzhou County</v>
      </c>
      <c r="G3239" s="1">
        <v>4.51423E11</v>
      </c>
    </row>
    <row r="3240">
      <c r="A3240" s="1" t="s">
        <v>2851</v>
      </c>
      <c r="B3240" s="1" t="str">
        <f>IFERROR(__xludf.DUMMYFUNCTION("GOOGLETRANSLATE(A3166, ""zh-CN"", ""en"")"),"Guangxi Zhuang Autonomous Region")</f>
        <v>Guangxi Zhuang Autonomous Region</v>
      </c>
      <c r="C3240" s="1" t="s">
        <v>2865</v>
      </c>
      <c r="D3240" s="1" t="str">
        <f>IFERROR(__xludf.DUMMYFUNCTION("GOOGLETRANSLATE(C3240, ""zh-CN"", ""en"")"),"Chongzuo City")</f>
        <v>Chongzuo City</v>
      </c>
      <c r="E3240" s="1" t="s">
        <v>2973</v>
      </c>
      <c r="F3240" s="1" t="str">
        <f>IFERROR(__xludf.DUMMYFUNCTION("GOOGLETRANSLATE(E3240, ""zh-CN"", ""en"")"),"Daxin County")</f>
        <v>Daxin County</v>
      </c>
      <c r="G3240" s="1">
        <v>4.51424E11</v>
      </c>
    </row>
    <row r="3241">
      <c r="A3241" s="1" t="s">
        <v>2851</v>
      </c>
      <c r="B3241" s="1" t="str">
        <f>IFERROR(__xludf.DUMMYFUNCTION("GOOGLETRANSLATE(A3167, ""zh-CN"", ""en"")"),"Guangxi Zhuang Autonomous Region")</f>
        <v>Guangxi Zhuang Autonomous Region</v>
      </c>
      <c r="C3241" s="1" t="s">
        <v>2865</v>
      </c>
      <c r="D3241" s="1" t="str">
        <f>IFERROR(__xludf.DUMMYFUNCTION("GOOGLETRANSLATE(C3241, ""zh-CN"", ""en"")"),"Chongzuo City")</f>
        <v>Chongzuo City</v>
      </c>
      <c r="E3241" s="1" t="s">
        <v>2974</v>
      </c>
      <c r="F3241" s="1" t="str">
        <f>IFERROR(__xludf.DUMMYFUNCTION("GOOGLETRANSLATE(E3241, ""zh-CN"", ""en"")"),"Tianyou County")</f>
        <v>Tianyou County</v>
      </c>
      <c r="G3241" s="1">
        <v>4.51425E11</v>
      </c>
    </row>
    <row r="3242">
      <c r="A3242" s="1" t="s">
        <v>2851</v>
      </c>
      <c r="B3242" s="1" t="str">
        <f>IFERROR(__xludf.DUMMYFUNCTION("GOOGLETRANSLATE(A3168, ""zh-CN"", ""en"")"),"Guangxi Zhuang Autonomous Region")</f>
        <v>Guangxi Zhuang Autonomous Region</v>
      </c>
      <c r="C3242" s="1" t="s">
        <v>2865</v>
      </c>
      <c r="D3242" s="1" t="str">
        <f>IFERROR(__xludf.DUMMYFUNCTION("GOOGLETRANSLATE(C3242, ""zh-CN"", ""en"")"),"Chongzuo City")</f>
        <v>Chongzuo City</v>
      </c>
      <c r="E3242" s="1" t="s">
        <v>2975</v>
      </c>
      <c r="F3242" s="1" t="str">
        <f>IFERROR(__xludf.DUMMYFUNCTION("GOOGLETRANSLATE(E3242, ""zh-CN"", ""en"")"),"Pingxiang City")</f>
        <v>Pingxiang City</v>
      </c>
      <c r="G3242" s="1">
        <v>4.51481E11</v>
      </c>
    </row>
    <row r="3243">
      <c r="A3243" s="1" t="s">
        <v>2976</v>
      </c>
      <c r="B3243" s="1" t="str">
        <f>IFERROR(__xludf.DUMMYFUNCTION("GOOGLETRANSLATE(A3169, ""zh-CN"", ""en"")"),"Guangxi Zhuang Autonomous Region")</f>
        <v>Guangxi Zhuang Autonomous Region</v>
      </c>
      <c r="C3243" s="1" t="s">
        <v>8</v>
      </c>
      <c r="D3243" s="1" t="str">
        <f>IFERROR(__xludf.DUMMYFUNCTION("GOOGLETRANSLATE(C3243, ""zh-CN"", ""en"")"),"Na")</f>
        <v>Na</v>
      </c>
      <c r="E3243" s="1" t="s">
        <v>8</v>
      </c>
      <c r="F3243" s="1" t="str">
        <f>IFERROR(__xludf.DUMMYFUNCTION("GOOGLETRANSLATE(E3243, ""zh-CN"", ""en"")"),"Na")</f>
        <v>Na</v>
      </c>
      <c r="G3243" s="1">
        <v>42.0</v>
      </c>
    </row>
    <row r="3244">
      <c r="A3244" s="1" t="s">
        <v>2976</v>
      </c>
      <c r="B3244" s="1" t="str">
        <f>IFERROR(__xludf.DUMMYFUNCTION("GOOGLETRANSLATE(A3170, ""zh-CN"", ""en"")"),"Guangxi Zhuang Autonomous Region")</f>
        <v>Guangxi Zhuang Autonomous Region</v>
      </c>
      <c r="C3244" s="1" t="s">
        <v>2977</v>
      </c>
      <c r="D3244" s="1" t="str">
        <f>IFERROR(__xludf.DUMMYFUNCTION("GOOGLETRANSLATE(C3244, ""zh-CN"", ""en"")"),"Wuhan")</f>
        <v>Wuhan</v>
      </c>
      <c r="E3244" s="1" t="s">
        <v>8</v>
      </c>
      <c r="F3244" s="1" t="str">
        <f>IFERROR(__xludf.DUMMYFUNCTION("GOOGLETRANSLATE(E3244, ""zh-CN"", ""en"")"),"Na")</f>
        <v>Na</v>
      </c>
      <c r="G3244" s="1">
        <v>4.201E11</v>
      </c>
    </row>
    <row r="3245">
      <c r="A3245" s="1" t="s">
        <v>2976</v>
      </c>
      <c r="B3245" s="1" t="str">
        <f>IFERROR(__xludf.DUMMYFUNCTION("GOOGLETRANSLATE(A3171, ""zh-CN"", ""en"")"),"Guangxi Zhuang Autonomous Region")</f>
        <v>Guangxi Zhuang Autonomous Region</v>
      </c>
      <c r="C3245" s="1" t="s">
        <v>2978</v>
      </c>
      <c r="D3245" s="1" t="str">
        <f>IFERROR(__xludf.DUMMYFUNCTION("GOOGLETRANSLATE(C3245, ""zh-CN"", ""en"")"),"Yellowstone City")</f>
        <v>Yellowstone City</v>
      </c>
      <c r="E3245" s="1" t="s">
        <v>8</v>
      </c>
      <c r="F3245" s="1" t="str">
        <f>IFERROR(__xludf.DUMMYFUNCTION("GOOGLETRANSLATE(E3245, ""zh-CN"", ""en"")"),"Na")</f>
        <v>Na</v>
      </c>
      <c r="G3245" s="1">
        <v>4.202E11</v>
      </c>
    </row>
    <row r="3246">
      <c r="A3246" s="1" t="s">
        <v>2976</v>
      </c>
      <c r="B3246" s="1" t="str">
        <f>IFERROR(__xludf.DUMMYFUNCTION("GOOGLETRANSLATE(A3172, ""zh-CN"", ""en"")"),"Guangxi Zhuang Autonomous Region")</f>
        <v>Guangxi Zhuang Autonomous Region</v>
      </c>
      <c r="C3246" s="1" t="s">
        <v>2979</v>
      </c>
      <c r="D3246" s="1" t="str">
        <f>IFERROR(__xludf.DUMMYFUNCTION("GOOGLETRANSLATE(C3246, ""zh-CN"", ""en"")"),"Shiyan City")</f>
        <v>Shiyan City</v>
      </c>
      <c r="E3246" s="1" t="s">
        <v>8</v>
      </c>
      <c r="F3246" s="1" t="str">
        <f>IFERROR(__xludf.DUMMYFUNCTION("GOOGLETRANSLATE(E3246, ""zh-CN"", ""en"")"),"Na")</f>
        <v>Na</v>
      </c>
      <c r="G3246" s="1">
        <v>4.203E11</v>
      </c>
    </row>
    <row r="3247">
      <c r="A3247" s="1" t="s">
        <v>2976</v>
      </c>
      <c r="B3247" s="1" t="str">
        <f>IFERROR(__xludf.DUMMYFUNCTION("GOOGLETRANSLATE(A3173, ""zh-CN"", ""en"")"),"Guangxi Zhuang Autonomous Region")</f>
        <v>Guangxi Zhuang Autonomous Region</v>
      </c>
      <c r="C3247" s="1" t="s">
        <v>2980</v>
      </c>
      <c r="D3247" s="1" t="str">
        <f>IFERROR(__xludf.DUMMYFUNCTION("GOOGLETRANSLATE(C3247, ""zh-CN"", ""en"")"),"Yichang City")</f>
        <v>Yichang City</v>
      </c>
      <c r="E3247" s="1" t="s">
        <v>8</v>
      </c>
      <c r="F3247" s="1" t="str">
        <f>IFERROR(__xludf.DUMMYFUNCTION("GOOGLETRANSLATE(E3247, ""zh-CN"", ""en"")"),"Na")</f>
        <v>Na</v>
      </c>
      <c r="G3247" s="1">
        <v>4.205E11</v>
      </c>
    </row>
    <row r="3248">
      <c r="A3248" s="1" t="s">
        <v>2976</v>
      </c>
      <c r="B3248" s="1" t="str">
        <f>IFERROR(__xludf.DUMMYFUNCTION("GOOGLETRANSLATE(A3174, ""zh-CN"", ""en"")"),"Guangxi Zhuang Autonomous Region")</f>
        <v>Guangxi Zhuang Autonomous Region</v>
      </c>
      <c r="C3248" s="1" t="s">
        <v>2981</v>
      </c>
      <c r="D3248" s="1" t="str">
        <f>IFERROR(__xludf.DUMMYFUNCTION("GOOGLETRANSLATE(C3248, ""zh-CN"", ""en"")"),"Xiangyang City")</f>
        <v>Xiangyang City</v>
      </c>
      <c r="E3248" s="1" t="s">
        <v>8</v>
      </c>
      <c r="F3248" s="1" t="str">
        <f>IFERROR(__xludf.DUMMYFUNCTION("GOOGLETRANSLATE(E3248, ""zh-CN"", ""en"")"),"Na")</f>
        <v>Na</v>
      </c>
      <c r="G3248" s="1">
        <v>4.206E11</v>
      </c>
    </row>
    <row r="3249">
      <c r="A3249" s="1" t="s">
        <v>2976</v>
      </c>
      <c r="B3249" s="1" t="str">
        <f>IFERROR(__xludf.DUMMYFUNCTION("GOOGLETRANSLATE(A3175, ""zh-CN"", ""en"")"),"Guangxi Zhuang Autonomous Region")</f>
        <v>Guangxi Zhuang Autonomous Region</v>
      </c>
      <c r="C3249" s="1" t="s">
        <v>2982</v>
      </c>
      <c r="D3249" s="1" t="str">
        <f>IFERROR(__xludf.DUMMYFUNCTION("GOOGLETRANSLATE(C3249, ""zh-CN"", ""en"")"),"Ezhou")</f>
        <v>Ezhou</v>
      </c>
      <c r="E3249" s="1" t="s">
        <v>8</v>
      </c>
      <c r="F3249" s="1" t="str">
        <f>IFERROR(__xludf.DUMMYFUNCTION("GOOGLETRANSLATE(E3249, ""zh-CN"", ""en"")"),"Na")</f>
        <v>Na</v>
      </c>
      <c r="G3249" s="1">
        <v>4.207E11</v>
      </c>
    </row>
    <row r="3250">
      <c r="A3250" s="1" t="s">
        <v>2976</v>
      </c>
      <c r="B3250" s="1" t="str">
        <f>IFERROR(__xludf.DUMMYFUNCTION("GOOGLETRANSLATE(A3176, ""zh-CN"", ""en"")"),"Guangxi Zhuang Autonomous Region")</f>
        <v>Guangxi Zhuang Autonomous Region</v>
      </c>
      <c r="C3250" s="1" t="s">
        <v>2983</v>
      </c>
      <c r="D3250" s="1" t="str">
        <f>IFERROR(__xludf.DUMMYFUNCTION("GOOGLETRANSLATE(C3250, ""zh-CN"", ""en"")"),"Jingmen City")</f>
        <v>Jingmen City</v>
      </c>
      <c r="E3250" s="1" t="s">
        <v>8</v>
      </c>
      <c r="F3250" s="1" t="str">
        <f>IFERROR(__xludf.DUMMYFUNCTION("GOOGLETRANSLATE(E3250, ""zh-CN"", ""en"")"),"Na")</f>
        <v>Na</v>
      </c>
      <c r="G3250" s="1">
        <v>4.208E11</v>
      </c>
    </row>
    <row r="3251">
      <c r="A3251" s="1" t="s">
        <v>2976</v>
      </c>
      <c r="B3251" s="1" t="str">
        <f>IFERROR(__xludf.DUMMYFUNCTION("GOOGLETRANSLATE(A3177, ""zh-CN"", ""en"")"),"Guangxi Zhuang Autonomous Region")</f>
        <v>Guangxi Zhuang Autonomous Region</v>
      </c>
      <c r="C3251" s="1" t="s">
        <v>2984</v>
      </c>
      <c r="D3251" s="1" t="str">
        <f>IFERROR(__xludf.DUMMYFUNCTION("GOOGLETRANSLATE(C3251, ""zh-CN"", ""en"")"),"Xiaogan City")</f>
        <v>Xiaogan City</v>
      </c>
      <c r="E3251" s="1" t="s">
        <v>8</v>
      </c>
      <c r="F3251" s="1" t="str">
        <f>IFERROR(__xludf.DUMMYFUNCTION("GOOGLETRANSLATE(E3251, ""zh-CN"", ""en"")"),"Na")</f>
        <v>Na</v>
      </c>
      <c r="G3251" s="1">
        <v>4.209E11</v>
      </c>
    </row>
    <row r="3252">
      <c r="A3252" s="1" t="s">
        <v>2976</v>
      </c>
      <c r="B3252" s="1" t="str">
        <f>IFERROR(__xludf.DUMMYFUNCTION("GOOGLETRANSLATE(A3178, ""zh-CN"", ""en"")"),"Guangxi Zhuang Autonomous Region")</f>
        <v>Guangxi Zhuang Autonomous Region</v>
      </c>
      <c r="C3252" s="1" t="s">
        <v>2985</v>
      </c>
      <c r="D3252" s="1" t="str">
        <f>IFERROR(__xludf.DUMMYFUNCTION("GOOGLETRANSLATE(C3252, ""zh-CN"", ""en"")"),"Jingzhou")</f>
        <v>Jingzhou</v>
      </c>
      <c r="E3252" s="1" t="s">
        <v>8</v>
      </c>
      <c r="F3252" s="1" t="str">
        <f>IFERROR(__xludf.DUMMYFUNCTION("GOOGLETRANSLATE(E3252, ""zh-CN"", ""en"")"),"Na")</f>
        <v>Na</v>
      </c>
      <c r="G3252" s="1">
        <v>4.21E11</v>
      </c>
    </row>
    <row r="3253">
      <c r="A3253" s="1" t="s">
        <v>2976</v>
      </c>
      <c r="B3253" s="1" t="str">
        <f>IFERROR(__xludf.DUMMYFUNCTION("GOOGLETRANSLATE(A3179, ""zh-CN"", ""en"")"),"Guangxi Zhuang Autonomous Region")</f>
        <v>Guangxi Zhuang Autonomous Region</v>
      </c>
      <c r="C3253" s="1" t="s">
        <v>2986</v>
      </c>
      <c r="D3253" s="1" t="str">
        <f>IFERROR(__xludf.DUMMYFUNCTION("GOOGLETRANSLATE(C3253, ""zh-CN"", ""en"")"),"Huanggang City")</f>
        <v>Huanggang City</v>
      </c>
      <c r="E3253" s="1" t="s">
        <v>8</v>
      </c>
      <c r="F3253" s="1" t="str">
        <f>IFERROR(__xludf.DUMMYFUNCTION("GOOGLETRANSLATE(E3253, ""zh-CN"", ""en"")"),"Na")</f>
        <v>Na</v>
      </c>
      <c r="G3253" s="1">
        <v>4.211E11</v>
      </c>
    </row>
    <row r="3254">
      <c r="A3254" s="1" t="s">
        <v>2976</v>
      </c>
      <c r="B3254" s="1" t="str">
        <f>IFERROR(__xludf.DUMMYFUNCTION("GOOGLETRANSLATE(A3180, ""zh-CN"", ""en"")"),"Guangxi Zhuang Autonomous Region")</f>
        <v>Guangxi Zhuang Autonomous Region</v>
      </c>
      <c r="C3254" s="1" t="s">
        <v>2987</v>
      </c>
      <c r="D3254" s="1" t="str">
        <f>IFERROR(__xludf.DUMMYFUNCTION("GOOGLETRANSLATE(C3254, ""zh-CN"", ""en"")"),"Xianning City")</f>
        <v>Xianning City</v>
      </c>
      <c r="E3254" s="1" t="s">
        <v>8</v>
      </c>
      <c r="F3254" s="1" t="str">
        <f>IFERROR(__xludf.DUMMYFUNCTION("GOOGLETRANSLATE(E3254, ""zh-CN"", ""en"")"),"Na")</f>
        <v>Na</v>
      </c>
      <c r="G3254" s="1">
        <v>4.212E11</v>
      </c>
    </row>
    <row r="3255">
      <c r="A3255" s="1" t="s">
        <v>2976</v>
      </c>
      <c r="B3255" s="1" t="str">
        <f>IFERROR(__xludf.DUMMYFUNCTION("GOOGLETRANSLATE(A3181, ""zh-CN"", ""en"")"),"Guangxi Zhuang Autonomous Region")</f>
        <v>Guangxi Zhuang Autonomous Region</v>
      </c>
      <c r="C3255" s="1" t="s">
        <v>2988</v>
      </c>
      <c r="D3255" s="1" t="str">
        <f>IFERROR(__xludf.DUMMYFUNCTION("GOOGLETRANSLATE(C3255, ""zh-CN"", ""en"")"),"Suizhou")</f>
        <v>Suizhou</v>
      </c>
      <c r="E3255" s="1" t="s">
        <v>8</v>
      </c>
      <c r="F3255" s="1" t="str">
        <f>IFERROR(__xludf.DUMMYFUNCTION("GOOGLETRANSLATE(E3255, ""zh-CN"", ""en"")"),"Na")</f>
        <v>Na</v>
      </c>
      <c r="G3255" s="1">
        <v>4.213E11</v>
      </c>
    </row>
    <row r="3256">
      <c r="A3256" s="1" t="s">
        <v>2976</v>
      </c>
      <c r="B3256" s="1" t="str">
        <f>IFERROR(__xludf.DUMMYFUNCTION("GOOGLETRANSLATE(A3182, ""zh-CN"", ""en"")"),"Guangxi Zhuang Autonomous Region")</f>
        <v>Guangxi Zhuang Autonomous Region</v>
      </c>
      <c r="C3256" s="1" t="s">
        <v>2989</v>
      </c>
      <c r="D3256" s="1" t="str">
        <f>IFERROR(__xludf.DUMMYFUNCTION("GOOGLETRANSLATE(C3256, ""zh-CN"", ""en"")"),"Enshi Tu Family Miao Autonomous Prefecture")</f>
        <v>Enshi Tu Family Miao Autonomous Prefecture</v>
      </c>
      <c r="E3256" s="1" t="s">
        <v>8</v>
      </c>
      <c r="F3256" s="1" t="str">
        <f>IFERROR(__xludf.DUMMYFUNCTION("GOOGLETRANSLATE(E3256, ""zh-CN"", ""en"")"),"Na")</f>
        <v>Na</v>
      </c>
      <c r="G3256" s="1">
        <v>4.228E11</v>
      </c>
    </row>
    <row r="3257">
      <c r="A3257" s="1" t="s">
        <v>2976</v>
      </c>
      <c r="B3257" s="1" t="str">
        <f>IFERROR(__xludf.DUMMYFUNCTION("GOOGLETRANSLATE(A3183, ""zh-CN"", ""en"")"),"Guangxi Zhuang Autonomous Region")</f>
        <v>Guangxi Zhuang Autonomous Region</v>
      </c>
      <c r="C3257" s="1" t="s">
        <v>2125</v>
      </c>
      <c r="D3257" s="1" t="str">
        <f>IFERROR(__xludf.DUMMYFUNCTION("GOOGLETRANSLATE(C3257, ""zh-CN"", ""en"")"),"Provincial and county -level administrative divisions directly under the jurisdiction")</f>
        <v>Provincial and county -level administrative divisions directly under the jurisdiction</v>
      </c>
      <c r="E3257" s="1" t="s">
        <v>8</v>
      </c>
      <c r="F3257" s="1" t="str">
        <f>IFERROR(__xludf.DUMMYFUNCTION("GOOGLETRANSLATE(E3257, ""zh-CN"", ""en"")"),"Na")</f>
        <v>Na</v>
      </c>
      <c r="G3257" s="1">
        <v>4.29E11</v>
      </c>
    </row>
    <row r="3258">
      <c r="A3258" s="1" t="s">
        <v>2976</v>
      </c>
      <c r="B3258" s="1" t="str">
        <f>IFERROR(__xludf.DUMMYFUNCTION("GOOGLETRANSLATE(A3184, ""zh-CN"", ""en"")"),"Guangxi Zhuang Autonomous Region")</f>
        <v>Guangxi Zhuang Autonomous Region</v>
      </c>
      <c r="C3258" s="1" t="s">
        <v>2977</v>
      </c>
      <c r="D3258" s="1" t="str">
        <f>IFERROR(__xludf.DUMMYFUNCTION("GOOGLETRANSLATE(C3258, ""zh-CN"", ""en"")"),"Wuhan")</f>
        <v>Wuhan</v>
      </c>
      <c r="E3258" s="1" t="s">
        <v>24</v>
      </c>
      <c r="F3258" s="1" t="str">
        <f>IFERROR(__xludf.DUMMYFUNCTION("GOOGLETRANSLATE(E3258, ""zh-CN"", ""en"")"),"City area")</f>
        <v>City area</v>
      </c>
      <c r="G3258" s="1">
        <v>4.20101E11</v>
      </c>
    </row>
    <row r="3259">
      <c r="A3259" s="1" t="s">
        <v>2976</v>
      </c>
      <c r="B3259" s="1" t="str">
        <f>IFERROR(__xludf.DUMMYFUNCTION("GOOGLETRANSLATE(A3185, ""zh-CN"", ""en"")"),"Guangxi Zhuang Autonomous Region")</f>
        <v>Guangxi Zhuang Autonomous Region</v>
      </c>
      <c r="C3259" s="1" t="s">
        <v>2977</v>
      </c>
      <c r="D3259" s="1" t="str">
        <f>IFERROR(__xludf.DUMMYFUNCTION("GOOGLETRANSLATE(C3259, ""zh-CN"", ""en"")"),"Wuhan")</f>
        <v>Wuhan</v>
      </c>
      <c r="E3259" s="1" t="s">
        <v>2990</v>
      </c>
      <c r="F3259" s="1" t="str">
        <f>IFERROR(__xludf.DUMMYFUNCTION("GOOGLETRANSLATE(E3259, ""zh-CN"", ""en"")"),"River bank")</f>
        <v>River bank</v>
      </c>
      <c r="G3259" s="1">
        <v>4.20102E11</v>
      </c>
    </row>
    <row r="3260">
      <c r="A3260" s="1" t="s">
        <v>2976</v>
      </c>
      <c r="B3260" s="1" t="str">
        <f>IFERROR(__xludf.DUMMYFUNCTION("GOOGLETRANSLATE(A3186, ""zh-CN"", ""en"")"),"Guangxi Zhuang Autonomous Region")</f>
        <v>Guangxi Zhuang Autonomous Region</v>
      </c>
      <c r="C3260" s="1" t="s">
        <v>2977</v>
      </c>
      <c r="D3260" s="1" t="str">
        <f>IFERROR(__xludf.DUMMYFUNCTION("GOOGLETRANSLATE(C3260, ""zh-CN"", ""en"")"),"Wuhan")</f>
        <v>Wuhan</v>
      </c>
      <c r="E3260" s="1" t="s">
        <v>2991</v>
      </c>
      <c r="F3260" s="1" t="str">
        <f>IFERROR(__xludf.DUMMYFUNCTION("GOOGLETRANSLATE(E3260, ""zh-CN"", ""en"")"),"Jianghan District")</f>
        <v>Jianghan District</v>
      </c>
      <c r="G3260" s="1">
        <v>4.20103E11</v>
      </c>
    </row>
    <row r="3261">
      <c r="A3261" s="1" t="s">
        <v>2976</v>
      </c>
      <c r="B3261" s="1" t="str">
        <f>IFERROR(__xludf.DUMMYFUNCTION("GOOGLETRANSLATE(A3187, ""zh-CN"", ""en"")"),"Guangxi Zhuang Autonomous Region")</f>
        <v>Guangxi Zhuang Autonomous Region</v>
      </c>
      <c r="C3261" s="1" t="s">
        <v>2977</v>
      </c>
      <c r="D3261" s="1" t="str">
        <f>IFERROR(__xludf.DUMMYFUNCTION("GOOGLETRANSLATE(C3261, ""zh-CN"", ""en"")"),"Wuhan")</f>
        <v>Wuhan</v>
      </c>
      <c r="E3261" s="1" t="s">
        <v>2992</v>
      </c>
      <c r="F3261" s="1" t="str">
        <f>IFERROR(__xludf.DUMMYFUNCTION("GOOGLETRANSLATE(E3261, ""zh-CN"", ""en"")"),"Kukou District")</f>
        <v>Kukou District</v>
      </c>
      <c r="G3261" s="1">
        <v>4.20104E11</v>
      </c>
    </row>
    <row r="3262">
      <c r="A3262" s="1" t="s">
        <v>2976</v>
      </c>
      <c r="B3262" s="1" t="str">
        <f>IFERROR(__xludf.DUMMYFUNCTION("GOOGLETRANSLATE(A3188, ""zh-CN"", ""en"")"),"Guangxi Zhuang Autonomous Region")</f>
        <v>Guangxi Zhuang Autonomous Region</v>
      </c>
      <c r="C3262" s="1" t="s">
        <v>2977</v>
      </c>
      <c r="D3262" s="1" t="str">
        <f>IFERROR(__xludf.DUMMYFUNCTION("GOOGLETRANSLATE(C3262, ""zh-CN"", ""en"")"),"Wuhan")</f>
        <v>Wuhan</v>
      </c>
      <c r="E3262" s="1" t="s">
        <v>2993</v>
      </c>
      <c r="F3262" s="1" t="str">
        <f>IFERROR(__xludf.DUMMYFUNCTION("GOOGLETRANSLATE(E3262, ""zh-CN"", ""en"")"),"Hanyang District")</f>
        <v>Hanyang District</v>
      </c>
      <c r="G3262" s="1">
        <v>4.20105E11</v>
      </c>
    </row>
    <row r="3263">
      <c r="A3263" s="1" t="s">
        <v>2976</v>
      </c>
      <c r="B3263" s="1" t="str">
        <f>IFERROR(__xludf.DUMMYFUNCTION("GOOGLETRANSLATE(A3189, ""zh-CN"", ""en"")"),"Guangxi Zhuang Autonomous Region")</f>
        <v>Guangxi Zhuang Autonomous Region</v>
      </c>
      <c r="C3263" s="1" t="s">
        <v>2977</v>
      </c>
      <c r="D3263" s="1" t="str">
        <f>IFERROR(__xludf.DUMMYFUNCTION("GOOGLETRANSLATE(C3263, ""zh-CN"", ""en"")"),"Wuhan")</f>
        <v>Wuhan</v>
      </c>
      <c r="E3263" s="1" t="s">
        <v>2994</v>
      </c>
      <c r="F3263" s="1" t="str">
        <f>IFERROR(__xludf.DUMMYFUNCTION("GOOGLETRANSLATE(E3263, ""zh-CN"", ""en"")"),"Wuchang District")</f>
        <v>Wuchang District</v>
      </c>
      <c r="G3263" s="1">
        <v>4.20106E11</v>
      </c>
    </row>
    <row r="3264">
      <c r="A3264" s="1" t="s">
        <v>2976</v>
      </c>
      <c r="B3264" s="1" t="str">
        <f>IFERROR(__xludf.DUMMYFUNCTION("GOOGLETRANSLATE(A3190, ""zh-CN"", ""en"")"),"Guangxi Zhuang Autonomous Region")</f>
        <v>Guangxi Zhuang Autonomous Region</v>
      </c>
      <c r="C3264" s="1" t="s">
        <v>2977</v>
      </c>
      <c r="D3264" s="1" t="str">
        <f>IFERROR(__xludf.DUMMYFUNCTION("GOOGLETRANSLATE(C3264, ""zh-CN"", ""en"")"),"Wuhan")</f>
        <v>Wuhan</v>
      </c>
      <c r="E3264" s="1" t="s">
        <v>2330</v>
      </c>
      <c r="F3264" s="1" t="str">
        <f>IFERROR(__xludf.DUMMYFUNCTION("GOOGLETRANSLATE(E3264, ""zh-CN"", ""en"")"),"Qingshan District")</f>
        <v>Qingshan District</v>
      </c>
      <c r="G3264" s="1">
        <v>4.20107E11</v>
      </c>
    </row>
    <row r="3265">
      <c r="A3265" s="1" t="s">
        <v>2976</v>
      </c>
      <c r="B3265" s="1" t="str">
        <f>IFERROR(__xludf.DUMMYFUNCTION("GOOGLETRANSLATE(A3191, ""zh-CN"", ""en"")"),"Guangxi Zhuang Autonomous Region")</f>
        <v>Guangxi Zhuang Autonomous Region</v>
      </c>
      <c r="C3265" s="1" t="s">
        <v>2977</v>
      </c>
      <c r="D3265" s="1" t="str">
        <f>IFERROR(__xludf.DUMMYFUNCTION("GOOGLETRANSLATE(C3265, ""zh-CN"", ""en"")"),"Wuhan")</f>
        <v>Wuhan</v>
      </c>
      <c r="E3265" s="1" t="s">
        <v>2995</v>
      </c>
      <c r="F3265" s="1" t="str">
        <f>IFERROR(__xludf.DUMMYFUNCTION("GOOGLETRANSLATE(E3265, ""zh-CN"", ""en"")"),"Hongshan District")</f>
        <v>Hongshan District</v>
      </c>
      <c r="G3265" s="1">
        <v>4.20111E11</v>
      </c>
    </row>
    <row r="3266">
      <c r="A3266" s="1" t="s">
        <v>2976</v>
      </c>
      <c r="B3266" s="1" t="str">
        <f>IFERROR(__xludf.DUMMYFUNCTION("GOOGLETRANSLATE(A3192, ""zh-CN"", ""en"")"),"Guangxi Zhuang Autonomous Region")</f>
        <v>Guangxi Zhuang Autonomous Region</v>
      </c>
      <c r="C3266" s="1" t="s">
        <v>2977</v>
      </c>
      <c r="D3266" s="1" t="str">
        <f>IFERROR(__xludf.DUMMYFUNCTION("GOOGLETRANSLATE(C3266, ""zh-CN"", ""en"")"),"Wuhan")</f>
        <v>Wuhan</v>
      </c>
      <c r="E3266" s="1" t="s">
        <v>2996</v>
      </c>
      <c r="F3266" s="1" t="str">
        <f>IFERROR(__xludf.DUMMYFUNCTION("GOOGLETRANSLATE(E3266, ""zh-CN"", ""en"")"),"East and West Lake District")</f>
        <v>East and West Lake District</v>
      </c>
      <c r="G3266" s="1">
        <v>4.20112E11</v>
      </c>
    </row>
    <row r="3267">
      <c r="A3267" s="1" t="s">
        <v>2976</v>
      </c>
      <c r="B3267" s="1" t="str">
        <f>IFERROR(__xludf.DUMMYFUNCTION("GOOGLETRANSLATE(A3193, ""zh-CN"", ""en"")"),"Guangxi Zhuang Autonomous Region")</f>
        <v>Guangxi Zhuang Autonomous Region</v>
      </c>
      <c r="C3267" s="1" t="s">
        <v>2977</v>
      </c>
      <c r="D3267" s="1" t="str">
        <f>IFERROR(__xludf.DUMMYFUNCTION("GOOGLETRANSLATE(C3267, ""zh-CN"", ""en"")"),"Wuhan")</f>
        <v>Wuhan</v>
      </c>
      <c r="E3267" s="1" t="s">
        <v>2997</v>
      </c>
      <c r="F3267" s="1" t="str">
        <f>IFERROR(__xludf.DUMMYFUNCTION("GOOGLETRANSLATE(E3267, ""zh-CN"", ""en"")"),"Hannan District")</f>
        <v>Hannan District</v>
      </c>
      <c r="G3267" s="1">
        <v>4.20113E11</v>
      </c>
    </row>
    <row r="3268">
      <c r="A3268" s="1" t="s">
        <v>2976</v>
      </c>
      <c r="B3268" s="1" t="str">
        <f>IFERROR(__xludf.DUMMYFUNCTION("GOOGLETRANSLATE(A3194, ""zh-CN"", ""en"")"),"Guangxi Zhuang Autonomous Region")</f>
        <v>Guangxi Zhuang Autonomous Region</v>
      </c>
      <c r="C3268" s="1" t="s">
        <v>2977</v>
      </c>
      <c r="D3268" s="1" t="str">
        <f>IFERROR(__xludf.DUMMYFUNCTION("GOOGLETRANSLATE(C3268, ""zh-CN"", ""en"")"),"Wuhan")</f>
        <v>Wuhan</v>
      </c>
      <c r="E3268" s="1" t="s">
        <v>2998</v>
      </c>
      <c r="F3268" s="1" t="str">
        <f>IFERROR(__xludf.DUMMYFUNCTION("GOOGLETRANSLATE(E3268, ""zh-CN"", ""en"")"),"Cai Dian District")</f>
        <v>Cai Dian District</v>
      </c>
      <c r="G3268" s="1">
        <v>4.20114E11</v>
      </c>
    </row>
    <row r="3269">
      <c r="A3269" s="1" t="s">
        <v>2976</v>
      </c>
      <c r="B3269" s="1" t="str">
        <f>IFERROR(__xludf.DUMMYFUNCTION("GOOGLETRANSLATE(A3195, ""zh-CN"", ""en"")"),"Guangxi Zhuang Autonomous Region")</f>
        <v>Guangxi Zhuang Autonomous Region</v>
      </c>
      <c r="C3269" s="1" t="s">
        <v>2977</v>
      </c>
      <c r="D3269" s="1" t="str">
        <f>IFERROR(__xludf.DUMMYFUNCTION("GOOGLETRANSLATE(C3269, ""zh-CN"", ""en"")"),"Wuhan")</f>
        <v>Wuhan</v>
      </c>
      <c r="E3269" s="1" t="s">
        <v>2999</v>
      </c>
      <c r="F3269" s="1" t="str">
        <f>IFERROR(__xludf.DUMMYFUNCTION("GOOGLETRANSLATE(E3269, ""zh-CN"", ""en"")"),"Jiangxia District")</f>
        <v>Jiangxia District</v>
      </c>
      <c r="G3269" s="1">
        <v>4.20115E11</v>
      </c>
    </row>
    <row r="3270">
      <c r="A3270" s="1" t="s">
        <v>2976</v>
      </c>
      <c r="B3270" s="1" t="str">
        <f>IFERROR(__xludf.DUMMYFUNCTION("GOOGLETRANSLATE(A3196, ""zh-CN"", ""en"")"),"Guangxi Zhuang Autonomous Region")</f>
        <v>Guangxi Zhuang Autonomous Region</v>
      </c>
      <c r="C3270" s="1" t="s">
        <v>2977</v>
      </c>
      <c r="D3270" s="1" t="str">
        <f>IFERROR(__xludf.DUMMYFUNCTION("GOOGLETRANSLATE(C3270, ""zh-CN"", ""en"")"),"Wuhan")</f>
        <v>Wuhan</v>
      </c>
      <c r="E3270" s="1" t="s">
        <v>3000</v>
      </c>
      <c r="F3270" s="1" t="str">
        <f>IFERROR(__xludf.DUMMYFUNCTION("GOOGLETRANSLATE(E3270, ""zh-CN"", ""en"")"),"Huangpi District")</f>
        <v>Huangpi District</v>
      </c>
      <c r="G3270" s="1">
        <v>4.20116E11</v>
      </c>
    </row>
    <row r="3271">
      <c r="A3271" s="1" t="s">
        <v>2976</v>
      </c>
      <c r="B3271" s="1" t="str">
        <f>IFERROR(__xludf.DUMMYFUNCTION("GOOGLETRANSLATE(A3197, ""zh-CN"", ""en"")"),"Guangxi Zhuang Autonomous Region")</f>
        <v>Guangxi Zhuang Autonomous Region</v>
      </c>
      <c r="C3271" s="1" t="s">
        <v>2977</v>
      </c>
      <c r="D3271" s="1" t="str">
        <f>IFERROR(__xludf.DUMMYFUNCTION("GOOGLETRANSLATE(C3271, ""zh-CN"", ""en"")"),"Wuhan")</f>
        <v>Wuhan</v>
      </c>
      <c r="E3271" s="1" t="s">
        <v>3001</v>
      </c>
      <c r="F3271" s="1" t="str">
        <f>IFERROR(__xludf.DUMMYFUNCTION("GOOGLETRANSLATE(E3271, ""zh-CN"", ""en"")"),"Xinzhou District")</f>
        <v>Xinzhou District</v>
      </c>
      <c r="G3271" s="1">
        <v>4.20117E11</v>
      </c>
    </row>
    <row r="3272">
      <c r="A3272" s="1" t="s">
        <v>2976</v>
      </c>
      <c r="B3272" s="1" t="str">
        <f>IFERROR(__xludf.DUMMYFUNCTION("GOOGLETRANSLATE(A3198, ""zh-CN"", ""en"")"),"Guangxi Zhuang Autonomous Region")</f>
        <v>Guangxi Zhuang Autonomous Region</v>
      </c>
      <c r="C3272" s="1" t="s">
        <v>2978</v>
      </c>
      <c r="D3272" s="1" t="str">
        <f>IFERROR(__xludf.DUMMYFUNCTION("GOOGLETRANSLATE(C3272, ""zh-CN"", ""en"")"),"Yellowstone City")</f>
        <v>Yellowstone City</v>
      </c>
      <c r="E3272" s="1" t="s">
        <v>24</v>
      </c>
      <c r="F3272" s="1" t="str">
        <f>IFERROR(__xludf.DUMMYFUNCTION("GOOGLETRANSLATE(E3272, ""zh-CN"", ""en"")"),"City area")</f>
        <v>City area</v>
      </c>
      <c r="G3272" s="1">
        <v>4.20201E11</v>
      </c>
    </row>
    <row r="3273">
      <c r="A3273" s="1" t="s">
        <v>2976</v>
      </c>
      <c r="B3273" s="1" t="str">
        <f>IFERROR(__xludf.DUMMYFUNCTION("GOOGLETRANSLATE(A3199, ""zh-CN"", ""en"")"),"Guangxi Zhuang Autonomous Region")</f>
        <v>Guangxi Zhuang Autonomous Region</v>
      </c>
      <c r="C3273" s="1" t="s">
        <v>2978</v>
      </c>
      <c r="D3273" s="1" t="str">
        <f>IFERROR(__xludf.DUMMYFUNCTION("GOOGLETRANSLATE(C3273, ""zh-CN"", ""en"")"),"Yellowstone City")</f>
        <v>Yellowstone City</v>
      </c>
      <c r="E3273" s="1" t="s">
        <v>3002</v>
      </c>
      <c r="F3273" s="1" t="str">
        <f>IFERROR(__xludf.DUMMYFUNCTION("GOOGLETRANSLATE(E3273, ""zh-CN"", ""en"")"),"Huangshigang District")</f>
        <v>Huangshigang District</v>
      </c>
      <c r="G3273" s="1">
        <v>4.20202E11</v>
      </c>
    </row>
    <row r="3274">
      <c r="A3274" s="1" t="s">
        <v>2976</v>
      </c>
      <c r="B3274" s="1" t="str">
        <f>IFERROR(__xludf.DUMMYFUNCTION("GOOGLETRANSLATE(A3200, ""zh-CN"", ""en"")"),"Guangxi Zhuang Autonomous Region")</f>
        <v>Guangxi Zhuang Autonomous Region</v>
      </c>
      <c r="C3274" s="1" t="s">
        <v>2978</v>
      </c>
      <c r="D3274" s="1" t="str">
        <f>IFERROR(__xludf.DUMMYFUNCTION("GOOGLETRANSLATE(C3274, ""zh-CN"", ""en"")"),"Yellowstone City")</f>
        <v>Yellowstone City</v>
      </c>
      <c r="E3274" s="1" t="s">
        <v>3003</v>
      </c>
      <c r="F3274" s="1" t="str">
        <f>IFERROR(__xludf.DUMMYFUNCTION("GOOGLETRANSLATE(E3274, ""zh-CN"", ""en"")"),"Sisai Mountains")</f>
        <v>Sisai Mountains</v>
      </c>
      <c r="G3274" s="1">
        <v>4.20203E11</v>
      </c>
    </row>
    <row r="3275">
      <c r="A3275" s="1" t="s">
        <v>2976</v>
      </c>
      <c r="B3275" s="1" t="str">
        <f>IFERROR(__xludf.DUMMYFUNCTION("GOOGLETRANSLATE(A3201, ""zh-CN"", ""en"")"),"Guangxi Zhuang Autonomous Region")</f>
        <v>Guangxi Zhuang Autonomous Region</v>
      </c>
      <c r="C3275" s="1" t="s">
        <v>2978</v>
      </c>
      <c r="D3275" s="1" t="str">
        <f>IFERROR(__xludf.DUMMYFUNCTION("GOOGLETRANSLATE(C3275, ""zh-CN"", ""en"")"),"Yellowstone City")</f>
        <v>Yellowstone City</v>
      </c>
      <c r="E3275" s="1" t="s">
        <v>3004</v>
      </c>
      <c r="F3275" s="1" t="str">
        <f>IFERROR(__xludf.DUMMYFUNCTION("GOOGLETRANSLATE(E3275, ""zh-CN"", ""en"")"),"Landing area")</f>
        <v>Landing area</v>
      </c>
      <c r="G3275" s="1">
        <v>4.20204E11</v>
      </c>
    </row>
    <row r="3276">
      <c r="A3276" s="1" t="s">
        <v>2976</v>
      </c>
      <c r="B3276" s="1" t="str">
        <f>IFERROR(__xludf.DUMMYFUNCTION("GOOGLETRANSLATE(A3202, ""zh-CN"", ""en"")"),"Guangxi Zhuang Autonomous Region")</f>
        <v>Guangxi Zhuang Autonomous Region</v>
      </c>
      <c r="C3276" s="1" t="s">
        <v>2978</v>
      </c>
      <c r="D3276" s="1" t="str">
        <f>IFERROR(__xludf.DUMMYFUNCTION("GOOGLETRANSLATE(C3276, ""zh-CN"", ""en"")"),"Yellowstone City")</f>
        <v>Yellowstone City</v>
      </c>
      <c r="E3276" s="1" t="s">
        <v>3005</v>
      </c>
      <c r="F3276" s="1" t="str">
        <f>IFERROR(__xludf.DUMMYFUNCTION("GOOGLETRANSLATE(E3276, ""zh-CN"", ""en"")"),"Iron mountain area")</f>
        <v>Iron mountain area</v>
      </c>
      <c r="G3276" s="1">
        <v>4.20205E11</v>
      </c>
    </row>
    <row r="3277">
      <c r="A3277" s="1" t="s">
        <v>2976</v>
      </c>
      <c r="B3277" s="1" t="str">
        <f>IFERROR(__xludf.DUMMYFUNCTION("GOOGLETRANSLATE(A3203, ""zh-CN"", ""en"")"),"Guangxi Zhuang Autonomous Region")</f>
        <v>Guangxi Zhuang Autonomous Region</v>
      </c>
      <c r="C3277" s="1" t="s">
        <v>2978</v>
      </c>
      <c r="D3277" s="1" t="str">
        <f>IFERROR(__xludf.DUMMYFUNCTION("GOOGLETRANSLATE(C3277, ""zh-CN"", ""en"")"),"Yellowstone City")</f>
        <v>Yellowstone City</v>
      </c>
      <c r="E3277" s="1" t="s">
        <v>3006</v>
      </c>
      <c r="F3277" s="1" t="str">
        <f>IFERROR(__xludf.DUMMYFUNCTION("GOOGLETRANSLATE(E3277, ""zh-CN"", ""en"")"),"Yangxin County")</f>
        <v>Yangxin County</v>
      </c>
      <c r="G3277" s="1">
        <v>4.20222E11</v>
      </c>
    </row>
    <row r="3278">
      <c r="A3278" s="1" t="s">
        <v>2976</v>
      </c>
      <c r="B3278" s="1" t="str">
        <f>IFERROR(__xludf.DUMMYFUNCTION("GOOGLETRANSLATE(A3204, ""zh-CN"", ""en"")"),"Guangxi Zhuang Autonomous Region")</f>
        <v>Guangxi Zhuang Autonomous Region</v>
      </c>
      <c r="C3278" s="1" t="s">
        <v>2978</v>
      </c>
      <c r="D3278" s="1" t="str">
        <f>IFERROR(__xludf.DUMMYFUNCTION("GOOGLETRANSLATE(C3278, ""zh-CN"", ""en"")"),"Yellowstone City")</f>
        <v>Yellowstone City</v>
      </c>
      <c r="E3278" s="1" t="s">
        <v>3007</v>
      </c>
      <c r="F3278" s="1" t="str">
        <f>IFERROR(__xludf.DUMMYFUNCTION("GOOGLETRANSLATE(E3278, ""zh-CN"", ""en"")"),"Daeye City")</f>
        <v>Daeye City</v>
      </c>
      <c r="G3278" s="1">
        <v>4.20281E11</v>
      </c>
    </row>
    <row r="3279">
      <c r="A3279" s="1" t="s">
        <v>2976</v>
      </c>
      <c r="B3279" s="1" t="str">
        <f>IFERROR(__xludf.DUMMYFUNCTION("GOOGLETRANSLATE(A3205, ""zh-CN"", ""en"")"),"Guangxi Zhuang Autonomous Region")</f>
        <v>Guangxi Zhuang Autonomous Region</v>
      </c>
      <c r="C3279" s="1" t="s">
        <v>2979</v>
      </c>
      <c r="D3279" s="1" t="str">
        <f>IFERROR(__xludf.DUMMYFUNCTION("GOOGLETRANSLATE(C3279, ""zh-CN"", ""en"")"),"Shiyan City")</f>
        <v>Shiyan City</v>
      </c>
      <c r="E3279" s="1" t="s">
        <v>24</v>
      </c>
      <c r="F3279" s="1" t="str">
        <f>IFERROR(__xludf.DUMMYFUNCTION("GOOGLETRANSLATE(E3279, ""zh-CN"", ""en"")"),"City area")</f>
        <v>City area</v>
      </c>
      <c r="G3279" s="1">
        <v>4.20301E11</v>
      </c>
    </row>
    <row r="3280">
      <c r="A3280" s="1" t="s">
        <v>2976</v>
      </c>
      <c r="B3280" s="1" t="str">
        <f>IFERROR(__xludf.DUMMYFUNCTION("GOOGLETRANSLATE(A3206, ""zh-CN"", ""en"")"),"Guangxi Zhuang Autonomous Region")</f>
        <v>Guangxi Zhuang Autonomous Region</v>
      </c>
      <c r="C3280" s="1" t="s">
        <v>2979</v>
      </c>
      <c r="D3280" s="1" t="str">
        <f>IFERROR(__xludf.DUMMYFUNCTION("GOOGLETRANSLATE(C3280, ""zh-CN"", ""en"")"),"Shiyan City")</f>
        <v>Shiyan City</v>
      </c>
      <c r="E3280" s="1" t="s">
        <v>3008</v>
      </c>
      <c r="F3280" s="1" t="str">
        <f>IFERROR(__xludf.DUMMYFUNCTION("GOOGLETRANSLATE(E3280, ""zh-CN"", ""en"")"),"Mao Jian District")</f>
        <v>Mao Jian District</v>
      </c>
      <c r="G3280" s="1">
        <v>4.20302E11</v>
      </c>
    </row>
    <row r="3281">
      <c r="A3281" s="1" t="s">
        <v>2976</v>
      </c>
      <c r="B3281" s="1" t="str">
        <f>IFERROR(__xludf.DUMMYFUNCTION("GOOGLETRANSLATE(A3207, ""zh-CN"", ""en"")"),"Guangxi Zhuang Autonomous Region")</f>
        <v>Guangxi Zhuang Autonomous Region</v>
      </c>
      <c r="C3281" s="1" t="s">
        <v>2979</v>
      </c>
      <c r="D3281" s="1" t="str">
        <f>IFERROR(__xludf.DUMMYFUNCTION("GOOGLETRANSLATE(C3281, ""zh-CN"", ""en"")"),"Shiyan City")</f>
        <v>Shiyan City</v>
      </c>
      <c r="E3281" s="1" t="s">
        <v>3009</v>
      </c>
      <c r="F3281" s="1" t="str">
        <f>IFERROR(__xludf.DUMMYFUNCTION("GOOGLETRANSLATE(E3281, ""zh-CN"", ""en"")"),"Zhangwan District")</f>
        <v>Zhangwan District</v>
      </c>
      <c r="G3281" s="1">
        <v>4.20303E11</v>
      </c>
    </row>
    <row r="3282">
      <c r="A3282" s="1" t="s">
        <v>2976</v>
      </c>
      <c r="B3282" s="1" t="str">
        <f>IFERROR(__xludf.DUMMYFUNCTION("GOOGLETRANSLATE(A3208, ""zh-CN"", ""en"")"),"Guangxi Zhuang Autonomous Region")</f>
        <v>Guangxi Zhuang Autonomous Region</v>
      </c>
      <c r="C3282" s="1" t="s">
        <v>2979</v>
      </c>
      <c r="D3282" s="1" t="str">
        <f>IFERROR(__xludf.DUMMYFUNCTION("GOOGLETRANSLATE(C3282, ""zh-CN"", ""en"")"),"Shiyan City")</f>
        <v>Shiyan City</v>
      </c>
      <c r="E3282" s="1" t="s">
        <v>3010</v>
      </c>
      <c r="F3282" s="1" t="str">
        <f>IFERROR(__xludf.DUMMYFUNCTION("GOOGLETRANSLATE(E3282, ""zh-CN"", ""en"")"),"Puyang District")</f>
        <v>Puyang District</v>
      </c>
      <c r="G3282" s="1">
        <v>4.20304E11</v>
      </c>
    </row>
    <row r="3283">
      <c r="A3283" s="1" t="s">
        <v>2976</v>
      </c>
      <c r="B3283" s="1" t="str">
        <f>IFERROR(__xludf.DUMMYFUNCTION("GOOGLETRANSLATE(A3209, ""zh-CN"", ""en"")"),"Guangxi Zhuang Autonomous Region")</f>
        <v>Guangxi Zhuang Autonomous Region</v>
      </c>
      <c r="C3283" s="1" t="s">
        <v>2979</v>
      </c>
      <c r="D3283" s="1" t="str">
        <f>IFERROR(__xludf.DUMMYFUNCTION("GOOGLETRANSLATE(C3283, ""zh-CN"", ""en"")"),"Shiyan City")</f>
        <v>Shiyan City</v>
      </c>
      <c r="E3283" s="1" t="s">
        <v>3011</v>
      </c>
      <c r="F3283" s="1" t="str">
        <f>IFERROR(__xludf.DUMMYFUNCTION("GOOGLETRANSLATE(E3283, ""zh-CN"", ""en"")"),"Daixi County")</f>
        <v>Daixi County</v>
      </c>
      <c r="G3283" s="1">
        <v>4.20322E11</v>
      </c>
    </row>
    <row r="3284">
      <c r="A3284" s="1" t="s">
        <v>2976</v>
      </c>
      <c r="B3284" s="1" t="str">
        <f>IFERROR(__xludf.DUMMYFUNCTION("GOOGLETRANSLATE(A3210, ""zh-CN"", ""en"")"),"Guangxi Zhuang Autonomous Region")</f>
        <v>Guangxi Zhuang Autonomous Region</v>
      </c>
      <c r="C3284" s="1" t="s">
        <v>2979</v>
      </c>
      <c r="D3284" s="1" t="str">
        <f>IFERROR(__xludf.DUMMYFUNCTION("GOOGLETRANSLATE(C3284, ""zh-CN"", ""en"")"),"Shiyan City")</f>
        <v>Shiyan City</v>
      </c>
      <c r="E3284" s="1" t="s">
        <v>3012</v>
      </c>
      <c r="F3284" s="1" t="str">
        <f>IFERROR(__xludf.DUMMYFUNCTION("GOOGLETRANSLATE(E3284, ""zh-CN"", ""en"")"),"Zhushan County")</f>
        <v>Zhushan County</v>
      </c>
      <c r="G3284" s="1">
        <v>4.20323E11</v>
      </c>
    </row>
    <row r="3285">
      <c r="A3285" s="1" t="s">
        <v>2976</v>
      </c>
      <c r="B3285" s="1" t="str">
        <f>IFERROR(__xludf.DUMMYFUNCTION("GOOGLETRANSLATE(A3211, ""zh-CN"", ""en"")"),"Guangxi Zhuang Autonomous Region")</f>
        <v>Guangxi Zhuang Autonomous Region</v>
      </c>
      <c r="C3285" s="1" t="s">
        <v>2979</v>
      </c>
      <c r="D3285" s="1" t="str">
        <f>IFERROR(__xludf.DUMMYFUNCTION("GOOGLETRANSLATE(C3285, ""zh-CN"", ""en"")"),"Shiyan City")</f>
        <v>Shiyan City</v>
      </c>
      <c r="E3285" s="1" t="s">
        <v>3013</v>
      </c>
      <c r="F3285" s="1" t="str">
        <f>IFERROR(__xludf.DUMMYFUNCTION("GOOGLETRANSLATE(E3285, ""zh-CN"", ""en"")"),"Zhuxi County")</f>
        <v>Zhuxi County</v>
      </c>
      <c r="G3285" s="1">
        <v>4.20324E11</v>
      </c>
    </row>
    <row r="3286">
      <c r="A3286" s="1" t="s">
        <v>2976</v>
      </c>
      <c r="B3286" s="1" t="str">
        <f>IFERROR(__xludf.DUMMYFUNCTION("GOOGLETRANSLATE(A3212, ""zh-CN"", ""en"")"),"Guangxi Zhuang Autonomous Region")</f>
        <v>Guangxi Zhuang Autonomous Region</v>
      </c>
      <c r="C3286" s="1" t="s">
        <v>2979</v>
      </c>
      <c r="D3286" s="1" t="str">
        <f>IFERROR(__xludf.DUMMYFUNCTION("GOOGLETRANSLATE(C3286, ""zh-CN"", ""en"")"),"Shiyan City")</f>
        <v>Shiyan City</v>
      </c>
      <c r="E3286" s="1" t="s">
        <v>3014</v>
      </c>
      <c r="F3286" s="1" t="str">
        <f>IFERROR(__xludf.DUMMYFUNCTION("GOOGLETRANSLATE(E3286, ""zh-CN"", ""en"")"),"House and county")</f>
        <v>House and county</v>
      </c>
      <c r="G3286" s="1">
        <v>4.20325E11</v>
      </c>
    </row>
    <row r="3287">
      <c r="A3287" s="1" t="s">
        <v>2976</v>
      </c>
      <c r="B3287" s="1" t="str">
        <f>IFERROR(__xludf.DUMMYFUNCTION("GOOGLETRANSLATE(A3213, ""zh-CN"", ""en"")"),"Guangxi Zhuang Autonomous Region")</f>
        <v>Guangxi Zhuang Autonomous Region</v>
      </c>
      <c r="C3287" s="1" t="s">
        <v>2979</v>
      </c>
      <c r="D3287" s="1" t="str">
        <f>IFERROR(__xludf.DUMMYFUNCTION("GOOGLETRANSLATE(C3287, ""zh-CN"", ""en"")"),"Shiyan City")</f>
        <v>Shiyan City</v>
      </c>
      <c r="E3287" s="1" t="s">
        <v>3015</v>
      </c>
      <c r="F3287" s="1" t="str">
        <f>IFERROR(__xludf.DUMMYFUNCTION("GOOGLETRANSLATE(E3287, ""zh-CN"", ""en"")"),"Danjiangkou City")</f>
        <v>Danjiangkou City</v>
      </c>
      <c r="G3287" s="1">
        <v>4.20381E11</v>
      </c>
    </row>
    <row r="3288">
      <c r="A3288" s="1" t="s">
        <v>2976</v>
      </c>
      <c r="B3288" s="1" t="str">
        <f>IFERROR(__xludf.DUMMYFUNCTION("GOOGLETRANSLATE(A3214, ""zh-CN"", ""en"")"),"Guangxi Zhuang Autonomous Region")</f>
        <v>Guangxi Zhuang Autonomous Region</v>
      </c>
      <c r="C3288" s="1" t="s">
        <v>2980</v>
      </c>
      <c r="D3288" s="1" t="str">
        <f>IFERROR(__xludf.DUMMYFUNCTION("GOOGLETRANSLATE(C3288, ""zh-CN"", ""en"")"),"Yichang City")</f>
        <v>Yichang City</v>
      </c>
      <c r="E3288" s="1" t="s">
        <v>24</v>
      </c>
      <c r="F3288" s="1" t="str">
        <f>IFERROR(__xludf.DUMMYFUNCTION("GOOGLETRANSLATE(E3288, ""zh-CN"", ""en"")"),"City area")</f>
        <v>City area</v>
      </c>
      <c r="G3288" s="1">
        <v>4.20501E11</v>
      </c>
    </row>
    <row r="3289">
      <c r="A3289" s="1" t="s">
        <v>2976</v>
      </c>
      <c r="B3289" s="1" t="str">
        <f>IFERROR(__xludf.DUMMYFUNCTION("GOOGLETRANSLATE(A3215, ""zh-CN"", ""en"")"),"Guangxi Zhuang Autonomous Region")</f>
        <v>Guangxi Zhuang Autonomous Region</v>
      </c>
      <c r="C3289" s="1" t="s">
        <v>2980</v>
      </c>
      <c r="D3289" s="1" t="str">
        <f>IFERROR(__xludf.DUMMYFUNCTION("GOOGLETRANSLATE(C3289, ""zh-CN"", ""en"")"),"Yichang City")</f>
        <v>Yichang City</v>
      </c>
      <c r="E3289" s="1" t="s">
        <v>3016</v>
      </c>
      <c r="F3289" s="1" t="str">
        <f>IFERROR(__xludf.DUMMYFUNCTION("GOOGLETRANSLATE(E3289, ""zh-CN"", ""en"")"),"Xiling District")</f>
        <v>Xiling District</v>
      </c>
      <c r="G3289" s="1">
        <v>4.20502E11</v>
      </c>
    </row>
    <row r="3290">
      <c r="A3290" s="1" t="s">
        <v>2976</v>
      </c>
      <c r="B3290" s="1" t="str">
        <f>IFERROR(__xludf.DUMMYFUNCTION("GOOGLETRANSLATE(A3216, ""zh-CN"", ""en"")"),"Guangxi Zhuang Autonomous Region")</f>
        <v>Guangxi Zhuang Autonomous Region</v>
      </c>
      <c r="C3290" s="1" t="s">
        <v>2980</v>
      </c>
      <c r="D3290" s="1" t="str">
        <f>IFERROR(__xludf.DUMMYFUNCTION("GOOGLETRANSLATE(C3290, ""zh-CN"", ""en"")"),"Yichang City")</f>
        <v>Yichang City</v>
      </c>
      <c r="E3290" s="1" t="s">
        <v>3017</v>
      </c>
      <c r="F3290" s="1" t="str">
        <f>IFERROR(__xludf.DUMMYFUNCTION("GOOGLETRANSLATE(E3290, ""zh-CN"", ""en"")"),"Wujiagang District")</f>
        <v>Wujiagang District</v>
      </c>
      <c r="G3290" s="1">
        <v>4.20503E11</v>
      </c>
    </row>
    <row r="3291">
      <c r="A3291" s="1" t="s">
        <v>2976</v>
      </c>
      <c r="B3291" s="1" t="str">
        <f>IFERROR(__xludf.DUMMYFUNCTION("GOOGLETRANSLATE(A3217, ""zh-CN"", ""en"")"),"Guangxi Zhuang Autonomous Region")</f>
        <v>Guangxi Zhuang Autonomous Region</v>
      </c>
      <c r="C3291" s="1" t="s">
        <v>2980</v>
      </c>
      <c r="D3291" s="1" t="str">
        <f>IFERROR(__xludf.DUMMYFUNCTION("GOOGLETRANSLATE(C3291, ""zh-CN"", ""en"")"),"Yichang City")</f>
        <v>Yichang City</v>
      </c>
      <c r="E3291" s="1" t="s">
        <v>3018</v>
      </c>
      <c r="F3291" s="1" t="str">
        <f>IFERROR(__xludf.DUMMYFUNCTION("GOOGLETRANSLATE(E3291, ""zh-CN"", ""en"")"),"Point military region")</f>
        <v>Point military region</v>
      </c>
      <c r="G3291" s="1">
        <v>4.20504E11</v>
      </c>
    </row>
    <row r="3292">
      <c r="A3292" s="1" t="s">
        <v>2976</v>
      </c>
      <c r="B3292" s="1" t="str">
        <f>IFERROR(__xludf.DUMMYFUNCTION("GOOGLETRANSLATE(A3218, ""zh-CN"", ""en"")"),"Guangxi Zhuang Autonomous Region")</f>
        <v>Guangxi Zhuang Autonomous Region</v>
      </c>
      <c r="C3292" s="1" t="s">
        <v>2980</v>
      </c>
      <c r="D3292" s="1" t="str">
        <f>IFERROR(__xludf.DUMMYFUNCTION("GOOGLETRANSLATE(C3292, ""zh-CN"", ""en"")"),"Yichang City")</f>
        <v>Yichang City</v>
      </c>
      <c r="E3292" s="1" t="s">
        <v>3019</v>
      </c>
      <c r="F3292" s="1" t="str">
        <f>IFERROR(__xludf.DUMMYFUNCTION("GOOGLETRANSLATE(E3292, ""zh-CN"", ""en"")"),"Laoting District")</f>
        <v>Laoting District</v>
      </c>
      <c r="G3292" s="1">
        <v>4.20505E11</v>
      </c>
    </row>
    <row r="3293">
      <c r="A3293" s="1" t="s">
        <v>2976</v>
      </c>
      <c r="B3293" s="1" t="str">
        <f>IFERROR(__xludf.DUMMYFUNCTION("GOOGLETRANSLATE(A3219, ""zh-CN"", ""en"")"),"Guangxi Zhuang Autonomous Region")</f>
        <v>Guangxi Zhuang Autonomous Region</v>
      </c>
      <c r="C3293" s="1" t="s">
        <v>2980</v>
      </c>
      <c r="D3293" s="1" t="str">
        <f>IFERROR(__xludf.DUMMYFUNCTION("GOOGLETRANSLATE(C3293, ""zh-CN"", ""en"")"),"Yichang City")</f>
        <v>Yichang City</v>
      </c>
      <c r="E3293" s="1" t="s">
        <v>3020</v>
      </c>
      <c r="F3293" s="1" t="str">
        <f>IFERROR(__xludf.DUMMYFUNCTION("GOOGLETRANSLATE(E3293, ""zh-CN"", ""en"")"),"Yiling District")</f>
        <v>Yiling District</v>
      </c>
      <c r="G3293" s="1">
        <v>4.20506E11</v>
      </c>
    </row>
    <row r="3294">
      <c r="A3294" s="1" t="s">
        <v>2976</v>
      </c>
      <c r="B3294" s="1" t="str">
        <f>IFERROR(__xludf.DUMMYFUNCTION("GOOGLETRANSLATE(A3220, ""zh-CN"", ""en"")"),"Guangxi Zhuang Autonomous Region")</f>
        <v>Guangxi Zhuang Autonomous Region</v>
      </c>
      <c r="C3294" s="1" t="s">
        <v>2980</v>
      </c>
      <c r="D3294" s="1" t="str">
        <f>IFERROR(__xludf.DUMMYFUNCTION("GOOGLETRANSLATE(C3294, ""zh-CN"", ""en"")"),"Yichang City")</f>
        <v>Yichang City</v>
      </c>
      <c r="E3294" s="1" t="s">
        <v>3021</v>
      </c>
      <c r="F3294" s="1" t="str">
        <f>IFERROR(__xludf.DUMMYFUNCTION("GOOGLETRANSLATE(E3294, ""zh-CN"", ""en"")"),"Yuan'an County")</f>
        <v>Yuan'an County</v>
      </c>
      <c r="G3294" s="1">
        <v>4.20525E11</v>
      </c>
    </row>
    <row r="3295">
      <c r="A3295" s="1" t="s">
        <v>2976</v>
      </c>
      <c r="B3295" s="1" t="str">
        <f>IFERROR(__xludf.DUMMYFUNCTION("GOOGLETRANSLATE(A3221, ""zh-CN"", ""en"")"),"Guangxi Zhuang Autonomous Region")</f>
        <v>Guangxi Zhuang Autonomous Region</v>
      </c>
      <c r="C3295" s="1" t="s">
        <v>2980</v>
      </c>
      <c r="D3295" s="1" t="str">
        <f>IFERROR(__xludf.DUMMYFUNCTION("GOOGLETRANSLATE(C3295, ""zh-CN"", ""en"")"),"Yichang City")</f>
        <v>Yichang City</v>
      </c>
      <c r="E3295" s="1" t="s">
        <v>3022</v>
      </c>
      <c r="F3295" s="1" t="str">
        <f>IFERROR(__xludf.DUMMYFUNCTION("GOOGLETRANSLATE(E3295, ""zh-CN"", ""en"")"),"Xingshan County")</f>
        <v>Xingshan County</v>
      </c>
      <c r="G3295" s="1">
        <v>4.20526E11</v>
      </c>
    </row>
    <row r="3296">
      <c r="A3296" s="1" t="s">
        <v>2976</v>
      </c>
      <c r="B3296" s="1" t="str">
        <f>IFERROR(__xludf.DUMMYFUNCTION("GOOGLETRANSLATE(A3222, ""zh-CN"", ""en"")"),"Guangxi Zhuang Autonomous Region")</f>
        <v>Guangxi Zhuang Autonomous Region</v>
      </c>
      <c r="C3296" s="1" t="s">
        <v>2980</v>
      </c>
      <c r="D3296" s="1" t="str">
        <f>IFERROR(__xludf.DUMMYFUNCTION("GOOGLETRANSLATE(C3296, ""zh-CN"", ""en"")"),"Yichang City")</f>
        <v>Yichang City</v>
      </c>
      <c r="E3296" s="1" t="s">
        <v>3023</v>
      </c>
      <c r="F3296" s="1" t="str">
        <f>IFERROR(__xludf.DUMMYFUNCTION("GOOGLETRANSLATE(E3296, ""zh-CN"", ""en"")"),"Yigui County")</f>
        <v>Yigui County</v>
      </c>
      <c r="G3296" s="1">
        <v>4.20527E11</v>
      </c>
    </row>
    <row r="3297">
      <c r="A3297" s="1" t="s">
        <v>2976</v>
      </c>
      <c r="B3297" s="1" t="str">
        <f>IFERROR(__xludf.DUMMYFUNCTION("GOOGLETRANSLATE(A3223, ""zh-CN"", ""en"")"),"Guangxi Zhuang Autonomous Region")</f>
        <v>Guangxi Zhuang Autonomous Region</v>
      </c>
      <c r="C3297" s="1" t="s">
        <v>2980</v>
      </c>
      <c r="D3297" s="1" t="str">
        <f>IFERROR(__xludf.DUMMYFUNCTION("GOOGLETRANSLATE(C3297, ""zh-CN"", ""en"")"),"Yichang City")</f>
        <v>Yichang City</v>
      </c>
      <c r="E3297" s="1" t="s">
        <v>3024</v>
      </c>
      <c r="F3297" s="1" t="str">
        <f>IFERROR(__xludf.DUMMYFUNCTION("GOOGLETRANSLATE(E3297, ""zh-CN"", ""en"")"),"Changyang Tujia Autonomous County")</f>
        <v>Changyang Tujia Autonomous County</v>
      </c>
      <c r="G3297" s="1">
        <v>4.20528E11</v>
      </c>
    </row>
    <row r="3298">
      <c r="A3298" s="1" t="s">
        <v>2976</v>
      </c>
      <c r="B3298" s="1" t="str">
        <f>IFERROR(__xludf.DUMMYFUNCTION("GOOGLETRANSLATE(A3224, ""zh-CN"", ""en"")"),"Guangxi Zhuang Autonomous Region")</f>
        <v>Guangxi Zhuang Autonomous Region</v>
      </c>
      <c r="C3298" s="1" t="s">
        <v>2980</v>
      </c>
      <c r="D3298" s="1" t="str">
        <f>IFERROR(__xludf.DUMMYFUNCTION("GOOGLETRANSLATE(C3298, ""zh-CN"", ""en"")"),"Yichang City")</f>
        <v>Yichang City</v>
      </c>
      <c r="E3298" s="1" t="s">
        <v>3025</v>
      </c>
      <c r="F3298" s="1" t="str">
        <f>IFERROR(__xludf.DUMMYFUNCTION("GOOGLETRANSLATE(E3298, ""zh-CN"", ""en"")"),"Wufeng Tujia Autonomous County")</f>
        <v>Wufeng Tujia Autonomous County</v>
      </c>
      <c r="G3298" s="1">
        <v>4.20529E11</v>
      </c>
    </row>
    <row r="3299">
      <c r="A3299" s="1" t="s">
        <v>2976</v>
      </c>
      <c r="B3299" s="1" t="str">
        <f>IFERROR(__xludf.DUMMYFUNCTION("GOOGLETRANSLATE(A3225, ""zh-CN"", ""en"")"),"Guangxi Zhuang Autonomous Region")</f>
        <v>Guangxi Zhuang Autonomous Region</v>
      </c>
      <c r="C3299" s="1" t="s">
        <v>2980</v>
      </c>
      <c r="D3299" s="1" t="str">
        <f>IFERROR(__xludf.DUMMYFUNCTION("GOOGLETRANSLATE(C3299, ""zh-CN"", ""en"")"),"Yichang City")</f>
        <v>Yichang City</v>
      </c>
      <c r="E3299" s="1" t="s">
        <v>3026</v>
      </c>
      <c r="F3299" s="1" t="str">
        <f>IFERROR(__xludf.DUMMYFUNCTION("GOOGLETRANSLATE(E3299, ""zh-CN"", ""en"")"),"Yidu City")</f>
        <v>Yidu City</v>
      </c>
      <c r="G3299" s="1">
        <v>4.20581E11</v>
      </c>
    </row>
    <row r="3300">
      <c r="A3300" s="1" t="s">
        <v>2976</v>
      </c>
      <c r="B3300" s="1" t="str">
        <f>IFERROR(__xludf.DUMMYFUNCTION("GOOGLETRANSLATE(A3226, ""zh-CN"", ""en"")"),"Guangxi Zhuang Autonomous Region")</f>
        <v>Guangxi Zhuang Autonomous Region</v>
      </c>
      <c r="C3300" s="1" t="s">
        <v>2980</v>
      </c>
      <c r="D3300" s="1" t="str">
        <f>IFERROR(__xludf.DUMMYFUNCTION("GOOGLETRANSLATE(C3300, ""zh-CN"", ""en"")"),"Yichang City")</f>
        <v>Yichang City</v>
      </c>
      <c r="E3300" s="1" t="s">
        <v>3027</v>
      </c>
      <c r="F3300" s="1" t="str">
        <f>IFERROR(__xludf.DUMMYFUNCTION("GOOGLETRANSLATE(E3300, ""zh-CN"", ""en"")"),"Dangyang City")</f>
        <v>Dangyang City</v>
      </c>
      <c r="G3300" s="1">
        <v>4.20582E11</v>
      </c>
    </row>
    <row r="3301">
      <c r="A3301" s="1" t="s">
        <v>2976</v>
      </c>
      <c r="B3301" s="1" t="str">
        <f>IFERROR(__xludf.DUMMYFUNCTION("GOOGLETRANSLATE(A3227, ""zh-CN"", ""en"")"),"Guangxi Zhuang Autonomous Region")</f>
        <v>Guangxi Zhuang Autonomous Region</v>
      </c>
      <c r="C3301" s="1" t="s">
        <v>2980</v>
      </c>
      <c r="D3301" s="1" t="str">
        <f>IFERROR(__xludf.DUMMYFUNCTION("GOOGLETRANSLATE(C3301, ""zh-CN"", ""en"")"),"Yichang City")</f>
        <v>Yichang City</v>
      </c>
      <c r="E3301" s="1" t="s">
        <v>3028</v>
      </c>
      <c r="F3301" s="1" t="str">
        <f>IFERROR(__xludf.DUMMYFUNCTION("GOOGLETRANSLATE(E3301, ""zh-CN"", ""en"")"),"Zhijiang City")</f>
        <v>Zhijiang City</v>
      </c>
      <c r="G3301" s="1">
        <v>4.20583E11</v>
      </c>
    </row>
    <row r="3302">
      <c r="A3302" s="1" t="s">
        <v>2976</v>
      </c>
      <c r="B3302" s="1" t="str">
        <f>IFERROR(__xludf.DUMMYFUNCTION("GOOGLETRANSLATE(A3228, ""zh-CN"", ""en"")"),"Guangxi Zhuang Autonomous Region")</f>
        <v>Guangxi Zhuang Autonomous Region</v>
      </c>
      <c r="C3302" s="1" t="s">
        <v>2981</v>
      </c>
      <c r="D3302" s="1" t="str">
        <f>IFERROR(__xludf.DUMMYFUNCTION("GOOGLETRANSLATE(C3302, ""zh-CN"", ""en"")"),"Xiangyang City")</f>
        <v>Xiangyang City</v>
      </c>
      <c r="E3302" s="1" t="s">
        <v>24</v>
      </c>
      <c r="F3302" s="1" t="str">
        <f>IFERROR(__xludf.DUMMYFUNCTION("GOOGLETRANSLATE(E3302, ""zh-CN"", ""en"")"),"City area")</f>
        <v>City area</v>
      </c>
      <c r="G3302" s="1">
        <v>4.20601E11</v>
      </c>
    </row>
    <row r="3303">
      <c r="A3303" s="1" t="s">
        <v>2976</v>
      </c>
      <c r="B3303" s="1" t="str">
        <f>IFERROR(__xludf.DUMMYFUNCTION("GOOGLETRANSLATE(A3229, ""zh-CN"", ""en"")"),"Guangxi Zhuang Autonomous Region")</f>
        <v>Guangxi Zhuang Autonomous Region</v>
      </c>
      <c r="C3303" s="1" t="s">
        <v>2981</v>
      </c>
      <c r="D3303" s="1" t="str">
        <f>IFERROR(__xludf.DUMMYFUNCTION("GOOGLETRANSLATE(C3303, ""zh-CN"", ""en"")"),"Xiangyang City")</f>
        <v>Xiangyang City</v>
      </c>
      <c r="E3303" s="1" t="s">
        <v>3029</v>
      </c>
      <c r="F3303" s="1" t="str">
        <f>IFERROR(__xludf.DUMMYFUNCTION("GOOGLETRANSLATE(E3303, ""zh-CN"", ""en"")"),"Xiangcheng District")</f>
        <v>Xiangcheng District</v>
      </c>
      <c r="G3303" s="1">
        <v>4.20602E11</v>
      </c>
    </row>
    <row r="3304">
      <c r="A3304" s="1" t="s">
        <v>2976</v>
      </c>
      <c r="B3304" s="1" t="str">
        <f>IFERROR(__xludf.DUMMYFUNCTION("GOOGLETRANSLATE(A3230, ""zh-CN"", ""en"")"),"Guangxi Zhuang Autonomous Region")</f>
        <v>Guangxi Zhuang Autonomous Region</v>
      </c>
      <c r="C3304" s="1" t="s">
        <v>2981</v>
      </c>
      <c r="D3304" s="1" t="str">
        <f>IFERROR(__xludf.DUMMYFUNCTION("GOOGLETRANSLATE(C3304, ""zh-CN"", ""en"")"),"Xiangyang City")</f>
        <v>Xiangyang City</v>
      </c>
      <c r="E3304" s="1" t="s">
        <v>3030</v>
      </c>
      <c r="F3304" s="1" t="str">
        <f>IFERROR(__xludf.DUMMYFUNCTION("GOOGLETRANSLATE(E3304, ""zh-CN"", ""en"")"),"Fancheng District")</f>
        <v>Fancheng District</v>
      </c>
      <c r="G3304" s="1">
        <v>4.20606E11</v>
      </c>
    </row>
    <row r="3305">
      <c r="A3305" s="1" t="s">
        <v>2976</v>
      </c>
      <c r="B3305" s="1" t="str">
        <f>IFERROR(__xludf.DUMMYFUNCTION("GOOGLETRANSLATE(A3231, ""zh-CN"", ""en"")"),"Guangxi Zhuang Autonomous Region")</f>
        <v>Guangxi Zhuang Autonomous Region</v>
      </c>
      <c r="C3305" s="1" t="s">
        <v>2981</v>
      </c>
      <c r="D3305" s="1" t="str">
        <f>IFERROR(__xludf.DUMMYFUNCTION("GOOGLETRANSLATE(C3305, ""zh-CN"", ""en"")"),"Xiangyang City")</f>
        <v>Xiangyang City</v>
      </c>
      <c r="E3305" s="1" t="s">
        <v>3031</v>
      </c>
      <c r="F3305" s="1" t="str">
        <f>IFERROR(__xludf.DUMMYFUNCTION("GOOGLETRANSLATE(E3305, ""zh-CN"", ""en"")"),"Xiangzhou District")</f>
        <v>Xiangzhou District</v>
      </c>
      <c r="G3305" s="1">
        <v>4.20607E11</v>
      </c>
    </row>
    <row r="3306">
      <c r="A3306" s="1" t="s">
        <v>2976</v>
      </c>
      <c r="B3306" s="1" t="str">
        <f>IFERROR(__xludf.DUMMYFUNCTION("GOOGLETRANSLATE(A3232, ""zh-CN"", ""en"")"),"Guangxi Zhuang Autonomous Region")</f>
        <v>Guangxi Zhuang Autonomous Region</v>
      </c>
      <c r="C3306" s="1" t="s">
        <v>2981</v>
      </c>
      <c r="D3306" s="1" t="str">
        <f>IFERROR(__xludf.DUMMYFUNCTION("GOOGLETRANSLATE(C3306, ""zh-CN"", ""en"")"),"Xiangyang City")</f>
        <v>Xiangyang City</v>
      </c>
      <c r="E3306" s="1" t="s">
        <v>3032</v>
      </c>
      <c r="F3306" s="1" t="str">
        <f>IFERROR(__xludf.DUMMYFUNCTION("GOOGLETRANSLATE(E3306, ""zh-CN"", ""en"")"),"Nanzhang County")</f>
        <v>Nanzhang County</v>
      </c>
      <c r="G3306" s="1">
        <v>4.20624E11</v>
      </c>
    </row>
    <row r="3307">
      <c r="A3307" s="1" t="s">
        <v>2976</v>
      </c>
      <c r="B3307" s="1" t="str">
        <f>IFERROR(__xludf.DUMMYFUNCTION("GOOGLETRANSLATE(A3233, ""zh-CN"", ""en"")"),"Guangxi Zhuang Autonomous Region")</f>
        <v>Guangxi Zhuang Autonomous Region</v>
      </c>
      <c r="C3307" s="1" t="s">
        <v>2981</v>
      </c>
      <c r="D3307" s="1" t="str">
        <f>IFERROR(__xludf.DUMMYFUNCTION("GOOGLETRANSLATE(C3307, ""zh-CN"", ""en"")"),"Xiangyang City")</f>
        <v>Xiangyang City</v>
      </c>
      <c r="E3307" s="1" t="s">
        <v>3033</v>
      </c>
      <c r="F3307" s="1" t="str">
        <f>IFERROR(__xludf.DUMMYFUNCTION("GOOGLETRANSLATE(E3307, ""zh-CN"", ""en"")"),"Gucheng County")</f>
        <v>Gucheng County</v>
      </c>
      <c r="G3307" s="1">
        <v>4.20625E11</v>
      </c>
    </row>
    <row r="3308">
      <c r="A3308" s="1" t="s">
        <v>2976</v>
      </c>
      <c r="B3308" s="1" t="str">
        <f>IFERROR(__xludf.DUMMYFUNCTION("GOOGLETRANSLATE(A3234, ""zh-CN"", ""en"")"),"Guangxi Zhuang Autonomous Region")</f>
        <v>Guangxi Zhuang Autonomous Region</v>
      </c>
      <c r="C3308" s="1" t="s">
        <v>2981</v>
      </c>
      <c r="D3308" s="1" t="str">
        <f>IFERROR(__xludf.DUMMYFUNCTION("GOOGLETRANSLATE(C3308, ""zh-CN"", ""en"")"),"Xiangyang City")</f>
        <v>Xiangyang City</v>
      </c>
      <c r="E3308" s="1" t="s">
        <v>3034</v>
      </c>
      <c r="F3308" s="1" t="str">
        <f>IFERROR(__xludf.DUMMYFUNCTION("GOOGLETRANSLATE(E3308, ""zh-CN"", ""en"")"),"Baokang County")</f>
        <v>Baokang County</v>
      </c>
      <c r="G3308" s="1">
        <v>4.20626E11</v>
      </c>
    </row>
    <row r="3309">
      <c r="A3309" s="1" t="s">
        <v>2976</v>
      </c>
      <c r="B3309" s="1" t="str">
        <f>IFERROR(__xludf.DUMMYFUNCTION("GOOGLETRANSLATE(A3235, ""zh-CN"", ""en"")"),"Guangxi Zhuang Autonomous Region")</f>
        <v>Guangxi Zhuang Autonomous Region</v>
      </c>
      <c r="C3309" s="1" t="s">
        <v>2981</v>
      </c>
      <c r="D3309" s="1" t="str">
        <f>IFERROR(__xludf.DUMMYFUNCTION("GOOGLETRANSLATE(C3309, ""zh-CN"", ""en"")"),"Xiangyang City")</f>
        <v>Xiangyang City</v>
      </c>
      <c r="E3309" s="1" t="s">
        <v>3035</v>
      </c>
      <c r="F3309" s="1" t="str">
        <f>IFERROR(__xludf.DUMMYFUNCTION("GOOGLETRANSLATE(E3309, ""zh-CN"", ""en"")"),"Old Hekou City")</f>
        <v>Old Hekou City</v>
      </c>
      <c r="G3309" s="1">
        <v>4.20682E11</v>
      </c>
    </row>
    <row r="3310">
      <c r="A3310" s="1" t="s">
        <v>2976</v>
      </c>
      <c r="B3310" s="1" t="str">
        <f>IFERROR(__xludf.DUMMYFUNCTION("GOOGLETRANSLATE(A3236, ""zh-CN"", ""en"")"),"Guangxi Zhuang Autonomous Region")</f>
        <v>Guangxi Zhuang Autonomous Region</v>
      </c>
      <c r="C3310" s="1" t="s">
        <v>2981</v>
      </c>
      <c r="D3310" s="1" t="str">
        <f>IFERROR(__xludf.DUMMYFUNCTION("GOOGLETRANSLATE(C3310, ""zh-CN"", ""en"")"),"Xiangyang City")</f>
        <v>Xiangyang City</v>
      </c>
      <c r="E3310" s="1" t="s">
        <v>3036</v>
      </c>
      <c r="F3310" s="1" t="str">
        <f>IFERROR(__xludf.DUMMYFUNCTION("GOOGLETRANSLATE(E3310, ""zh-CN"", ""en"")"),"Zaoyang City")</f>
        <v>Zaoyang City</v>
      </c>
      <c r="G3310" s="1">
        <v>4.20683E11</v>
      </c>
    </row>
    <row r="3311">
      <c r="A3311" s="1" t="s">
        <v>2976</v>
      </c>
      <c r="B3311" s="1" t="str">
        <f>IFERROR(__xludf.DUMMYFUNCTION("GOOGLETRANSLATE(A3237, ""zh-CN"", ""en"")"),"Guangxi Zhuang Autonomous Region")</f>
        <v>Guangxi Zhuang Autonomous Region</v>
      </c>
      <c r="C3311" s="1" t="s">
        <v>2981</v>
      </c>
      <c r="D3311" s="1" t="str">
        <f>IFERROR(__xludf.DUMMYFUNCTION("GOOGLETRANSLATE(C3311, ""zh-CN"", ""en"")"),"Xiangyang City")</f>
        <v>Xiangyang City</v>
      </c>
      <c r="E3311" s="1" t="s">
        <v>3037</v>
      </c>
      <c r="F3311" s="1" t="str">
        <f>IFERROR(__xludf.DUMMYFUNCTION("GOOGLETRANSLATE(E3311, ""zh-CN"", ""en"")"),"Suitable city")</f>
        <v>Suitable city</v>
      </c>
      <c r="G3311" s="1">
        <v>4.20684E11</v>
      </c>
    </row>
    <row r="3312">
      <c r="A3312" s="1" t="s">
        <v>2976</v>
      </c>
      <c r="B3312" s="1" t="str">
        <f>IFERROR(__xludf.DUMMYFUNCTION("GOOGLETRANSLATE(A3238, ""zh-CN"", ""en"")"),"Guangxi Zhuang Autonomous Region")</f>
        <v>Guangxi Zhuang Autonomous Region</v>
      </c>
      <c r="C3312" s="1" t="s">
        <v>2982</v>
      </c>
      <c r="D3312" s="1" t="str">
        <f>IFERROR(__xludf.DUMMYFUNCTION("GOOGLETRANSLATE(C3312, ""zh-CN"", ""en"")"),"Ezhou")</f>
        <v>Ezhou</v>
      </c>
      <c r="E3312" s="1" t="s">
        <v>24</v>
      </c>
      <c r="F3312" s="1" t="str">
        <f>IFERROR(__xludf.DUMMYFUNCTION("GOOGLETRANSLATE(E3312, ""zh-CN"", ""en"")"),"City area")</f>
        <v>City area</v>
      </c>
      <c r="G3312" s="1">
        <v>4.20701E11</v>
      </c>
    </row>
    <row r="3313">
      <c r="A3313" s="1" t="s">
        <v>2976</v>
      </c>
      <c r="B3313" s="1" t="str">
        <f>IFERROR(__xludf.DUMMYFUNCTION("GOOGLETRANSLATE(A3239, ""zh-CN"", ""en"")"),"Guangxi Zhuang Autonomous Region")</f>
        <v>Guangxi Zhuang Autonomous Region</v>
      </c>
      <c r="C3313" s="1" t="s">
        <v>2982</v>
      </c>
      <c r="D3313" s="1" t="str">
        <f>IFERROR(__xludf.DUMMYFUNCTION("GOOGLETRANSLATE(C3313, ""zh-CN"", ""en"")"),"Ezhou")</f>
        <v>Ezhou</v>
      </c>
      <c r="E3313" s="1" t="s">
        <v>3038</v>
      </c>
      <c r="F3313" s="1" t="str">
        <f>IFERROR(__xludf.DUMMYFUNCTION("GOOGLETRANSLATE(E3313, ""zh-CN"", ""en"")"),"Liangzi Lake District")</f>
        <v>Liangzi Lake District</v>
      </c>
      <c r="G3313" s="1">
        <v>4.20702E11</v>
      </c>
    </row>
    <row r="3314">
      <c r="A3314" s="1" t="s">
        <v>2976</v>
      </c>
      <c r="B3314" s="1" t="str">
        <f>IFERROR(__xludf.DUMMYFUNCTION("GOOGLETRANSLATE(A3240, ""zh-CN"", ""en"")"),"Guangxi Zhuang Autonomous Region")</f>
        <v>Guangxi Zhuang Autonomous Region</v>
      </c>
      <c r="C3314" s="1" t="s">
        <v>2982</v>
      </c>
      <c r="D3314" s="1" t="str">
        <f>IFERROR(__xludf.DUMMYFUNCTION("GOOGLETRANSLATE(C3314, ""zh-CN"", ""en"")"),"Ezhou")</f>
        <v>Ezhou</v>
      </c>
      <c r="E3314" s="1" t="s">
        <v>3039</v>
      </c>
      <c r="F3314" s="1" t="str">
        <f>IFERROR(__xludf.DUMMYFUNCTION("GOOGLETRANSLATE(E3314, ""zh-CN"", ""en"")"),"Huarong District")</f>
        <v>Huarong District</v>
      </c>
      <c r="G3314" s="1">
        <v>4.20703E11</v>
      </c>
    </row>
    <row r="3315">
      <c r="A3315" s="1" t="s">
        <v>2976</v>
      </c>
      <c r="B3315" s="1" t="str">
        <f>IFERROR(__xludf.DUMMYFUNCTION("GOOGLETRANSLATE(A3241, ""zh-CN"", ""en"")"),"Guangxi Zhuang Autonomous Region")</f>
        <v>Guangxi Zhuang Autonomous Region</v>
      </c>
      <c r="C3315" s="1" t="s">
        <v>2982</v>
      </c>
      <c r="D3315" s="1" t="str">
        <f>IFERROR(__xludf.DUMMYFUNCTION("GOOGLETRANSLATE(C3315, ""zh-CN"", ""en"")"),"Ezhou")</f>
        <v>Ezhou</v>
      </c>
      <c r="E3315" s="1" t="s">
        <v>3040</v>
      </c>
      <c r="F3315" s="1" t="str">
        <f>IFERROR(__xludf.DUMMYFUNCTION("GOOGLETRANSLATE(E3315, ""zh-CN"", ""en"")"),"Hubei")</f>
        <v>Hubei</v>
      </c>
      <c r="G3315" s="1">
        <v>4.20704E11</v>
      </c>
    </row>
    <row r="3316">
      <c r="A3316" s="1" t="s">
        <v>2976</v>
      </c>
      <c r="B3316" s="1" t="str">
        <f>IFERROR(__xludf.DUMMYFUNCTION("GOOGLETRANSLATE(A3242, ""zh-CN"", ""en"")"),"Guangxi Zhuang Autonomous Region")</f>
        <v>Guangxi Zhuang Autonomous Region</v>
      </c>
      <c r="C3316" s="1" t="s">
        <v>2983</v>
      </c>
      <c r="D3316" s="1" t="str">
        <f>IFERROR(__xludf.DUMMYFUNCTION("GOOGLETRANSLATE(C3316, ""zh-CN"", ""en"")"),"Jingmen City")</f>
        <v>Jingmen City</v>
      </c>
      <c r="E3316" s="1" t="s">
        <v>24</v>
      </c>
      <c r="F3316" s="1" t="str">
        <f>IFERROR(__xludf.DUMMYFUNCTION("GOOGLETRANSLATE(E3316, ""zh-CN"", ""en"")"),"City area")</f>
        <v>City area</v>
      </c>
      <c r="G3316" s="1">
        <v>4.20801E11</v>
      </c>
    </row>
    <row r="3317">
      <c r="A3317" s="1" t="s">
        <v>2976</v>
      </c>
      <c r="B3317" s="1" t="str">
        <f>IFERROR(__xludf.DUMMYFUNCTION("GOOGLETRANSLATE(A3243, ""zh-CN"", ""en"")"),"Hubei Province")</f>
        <v>Hubei Province</v>
      </c>
      <c r="C3317" s="1" t="s">
        <v>2983</v>
      </c>
      <c r="D3317" s="1" t="str">
        <f>IFERROR(__xludf.DUMMYFUNCTION("GOOGLETRANSLATE(C3317, ""zh-CN"", ""en"")"),"Jingmen City")</f>
        <v>Jingmen City</v>
      </c>
      <c r="E3317" s="1" t="s">
        <v>3041</v>
      </c>
      <c r="F3317" s="1" t="str">
        <f>IFERROR(__xludf.DUMMYFUNCTION("GOOGLETRANSLATE(E3317, ""zh-CN"", ""en"")"),"Dongbao District")</f>
        <v>Dongbao District</v>
      </c>
      <c r="G3317" s="1">
        <v>4.20802E11</v>
      </c>
    </row>
    <row r="3318">
      <c r="A3318" s="1" t="s">
        <v>2976</v>
      </c>
      <c r="B3318" s="1" t="str">
        <f>IFERROR(__xludf.DUMMYFUNCTION("GOOGLETRANSLATE(A3244, ""zh-CN"", ""en"")"),"Hubei Province")</f>
        <v>Hubei Province</v>
      </c>
      <c r="C3318" s="1" t="s">
        <v>2983</v>
      </c>
      <c r="D3318" s="1" t="str">
        <f>IFERROR(__xludf.DUMMYFUNCTION("GOOGLETRANSLATE(C3318, ""zh-CN"", ""en"")"),"Jingmen City")</f>
        <v>Jingmen City</v>
      </c>
      <c r="E3318" s="1" t="s">
        <v>3042</v>
      </c>
      <c r="F3318" s="1" t="str">
        <f>IFERROR(__xludf.DUMMYFUNCTION("GOOGLETRANSLATE(E3318, ""zh-CN"", ""en"")"),"Scalp area")</f>
        <v>Scalp area</v>
      </c>
      <c r="G3318" s="1">
        <v>4.20804E11</v>
      </c>
    </row>
    <row r="3319">
      <c r="A3319" s="1" t="s">
        <v>2976</v>
      </c>
      <c r="B3319" s="1" t="str">
        <f>IFERROR(__xludf.DUMMYFUNCTION("GOOGLETRANSLATE(A3245, ""zh-CN"", ""en"")"),"Hubei Province")</f>
        <v>Hubei Province</v>
      </c>
      <c r="C3319" s="1" t="s">
        <v>2983</v>
      </c>
      <c r="D3319" s="1" t="str">
        <f>IFERROR(__xludf.DUMMYFUNCTION("GOOGLETRANSLATE(C3319, ""zh-CN"", ""en"")"),"Jingmen City")</f>
        <v>Jingmen City</v>
      </c>
      <c r="E3319" s="1" t="s">
        <v>3043</v>
      </c>
      <c r="F3319" s="1" t="str">
        <f>IFERROR(__xludf.DUMMYFUNCTION("GOOGLETRANSLATE(E3319, ""zh-CN"", ""en"")"),"Shayang County")</f>
        <v>Shayang County</v>
      </c>
      <c r="G3319" s="1">
        <v>4.20822E11</v>
      </c>
    </row>
    <row r="3320">
      <c r="A3320" s="1" t="s">
        <v>2976</v>
      </c>
      <c r="B3320" s="1" t="str">
        <f>IFERROR(__xludf.DUMMYFUNCTION("GOOGLETRANSLATE(A3246, ""zh-CN"", ""en"")"),"Hubei Province")</f>
        <v>Hubei Province</v>
      </c>
      <c r="C3320" s="1" t="s">
        <v>2983</v>
      </c>
      <c r="D3320" s="1" t="str">
        <f>IFERROR(__xludf.DUMMYFUNCTION("GOOGLETRANSLATE(C3320, ""zh-CN"", ""en"")"),"Jingmen City")</f>
        <v>Jingmen City</v>
      </c>
      <c r="E3320" s="1" t="s">
        <v>3044</v>
      </c>
      <c r="F3320" s="1" t="str">
        <f>IFERROR(__xludf.DUMMYFUNCTION("GOOGLETRANSLATE(E3320, ""zh-CN"", ""en"")"),"Zhongxiang City")</f>
        <v>Zhongxiang City</v>
      </c>
      <c r="G3320" s="1">
        <v>4.20881E11</v>
      </c>
    </row>
    <row r="3321">
      <c r="A3321" s="1" t="s">
        <v>2976</v>
      </c>
      <c r="B3321" s="1" t="str">
        <f>IFERROR(__xludf.DUMMYFUNCTION("GOOGLETRANSLATE(A3247, ""zh-CN"", ""en"")"),"Hubei Province")</f>
        <v>Hubei Province</v>
      </c>
      <c r="C3321" s="1" t="s">
        <v>2983</v>
      </c>
      <c r="D3321" s="1" t="str">
        <f>IFERROR(__xludf.DUMMYFUNCTION("GOOGLETRANSLATE(C3321, ""zh-CN"", ""en"")"),"Jingmen City")</f>
        <v>Jingmen City</v>
      </c>
      <c r="E3321" s="1" t="s">
        <v>3045</v>
      </c>
      <c r="F3321" s="1" t="str">
        <f>IFERROR(__xludf.DUMMYFUNCTION("GOOGLETRANSLATE(E3321, ""zh-CN"", ""en"")"),"Jingshan City")</f>
        <v>Jingshan City</v>
      </c>
      <c r="G3321" s="1">
        <v>4.20882E11</v>
      </c>
    </row>
    <row r="3322">
      <c r="A3322" s="1" t="s">
        <v>2976</v>
      </c>
      <c r="B3322" s="1" t="str">
        <f>IFERROR(__xludf.DUMMYFUNCTION("GOOGLETRANSLATE(A3248, ""zh-CN"", ""en"")"),"Hubei Province")</f>
        <v>Hubei Province</v>
      </c>
      <c r="C3322" s="1" t="s">
        <v>2984</v>
      </c>
      <c r="D3322" s="1" t="str">
        <f>IFERROR(__xludf.DUMMYFUNCTION("GOOGLETRANSLATE(C3322, ""zh-CN"", ""en"")"),"Xiaogan City")</f>
        <v>Xiaogan City</v>
      </c>
      <c r="E3322" s="1" t="s">
        <v>24</v>
      </c>
      <c r="F3322" s="1" t="str">
        <f>IFERROR(__xludf.DUMMYFUNCTION("GOOGLETRANSLATE(E3322, ""zh-CN"", ""en"")"),"City area")</f>
        <v>City area</v>
      </c>
      <c r="G3322" s="1">
        <v>4.20901E11</v>
      </c>
    </row>
    <row r="3323">
      <c r="A3323" s="1" t="s">
        <v>2976</v>
      </c>
      <c r="B3323" s="1" t="str">
        <f>IFERROR(__xludf.DUMMYFUNCTION("GOOGLETRANSLATE(A3249, ""zh-CN"", ""en"")"),"Hubei Province")</f>
        <v>Hubei Province</v>
      </c>
      <c r="C3323" s="1" t="s">
        <v>2984</v>
      </c>
      <c r="D3323" s="1" t="str">
        <f>IFERROR(__xludf.DUMMYFUNCTION("GOOGLETRANSLATE(C3323, ""zh-CN"", ""en"")"),"Xiaogan City")</f>
        <v>Xiaogan City</v>
      </c>
      <c r="E3323" s="1" t="s">
        <v>3046</v>
      </c>
      <c r="F3323" s="1" t="str">
        <f>IFERROR(__xludf.DUMMYFUNCTION("GOOGLETRANSLATE(E3323, ""zh-CN"", ""en"")"),"Xiaonan District")</f>
        <v>Xiaonan District</v>
      </c>
      <c r="G3323" s="1">
        <v>4.20902E11</v>
      </c>
    </row>
    <row r="3324">
      <c r="A3324" s="1" t="s">
        <v>2976</v>
      </c>
      <c r="B3324" s="1" t="str">
        <f>IFERROR(__xludf.DUMMYFUNCTION("GOOGLETRANSLATE(A3250, ""zh-CN"", ""en"")"),"Hubei Province")</f>
        <v>Hubei Province</v>
      </c>
      <c r="C3324" s="1" t="s">
        <v>2984</v>
      </c>
      <c r="D3324" s="1" t="str">
        <f>IFERROR(__xludf.DUMMYFUNCTION("GOOGLETRANSLATE(C3324, ""zh-CN"", ""en"")"),"Xiaogan City")</f>
        <v>Xiaogan City</v>
      </c>
      <c r="E3324" s="1" t="s">
        <v>3047</v>
      </c>
      <c r="F3324" s="1" t="str">
        <f>IFERROR(__xludf.DUMMYFUNCTION("GOOGLETRANSLATE(E3324, ""zh-CN"", ""en"")"),"Xiaochang County")</f>
        <v>Xiaochang County</v>
      </c>
      <c r="G3324" s="1">
        <v>4.20921E11</v>
      </c>
    </row>
    <row r="3325">
      <c r="A3325" s="1" t="s">
        <v>2976</v>
      </c>
      <c r="B3325" s="1" t="str">
        <f>IFERROR(__xludf.DUMMYFUNCTION("GOOGLETRANSLATE(A3251, ""zh-CN"", ""en"")"),"Hubei Province")</f>
        <v>Hubei Province</v>
      </c>
      <c r="C3325" s="1" t="s">
        <v>2984</v>
      </c>
      <c r="D3325" s="1" t="str">
        <f>IFERROR(__xludf.DUMMYFUNCTION("GOOGLETRANSLATE(C3325, ""zh-CN"", ""en"")"),"Xiaogan City")</f>
        <v>Xiaogan City</v>
      </c>
      <c r="E3325" s="1" t="s">
        <v>3048</v>
      </c>
      <c r="F3325" s="1" t="str">
        <f>IFERROR(__xludf.DUMMYFUNCTION("GOOGLETRANSLATE(E3325, ""zh-CN"", ""en"")"),"Dawu County")</f>
        <v>Dawu County</v>
      </c>
      <c r="G3325" s="1">
        <v>4.20922E11</v>
      </c>
    </row>
    <row r="3326">
      <c r="A3326" s="1" t="s">
        <v>2976</v>
      </c>
      <c r="B3326" s="1" t="str">
        <f>IFERROR(__xludf.DUMMYFUNCTION("GOOGLETRANSLATE(A3252, ""zh-CN"", ""en"")"),"Hubei Province")</f>
        <v>Hubei Province</v>
      </c>
      <c r="C3326" s="1" t="s">
        <v>2984</v>
      </c>
      <c r="D3326" s="1" t="str">
        <f>IFERROR(__xludf.DUMMYFUNCTION("GOOGLETRANSLATE(C3326, ""zh-CN"", ""en"")"),"Xiaogan City")</f>
        <v>Xiaogan City</v>
      </c>
      <c r="E3326" s="1" t="s">
        <v>3049</v>
      </c>
      <c r="F3326" s="1" t="str">
        <f>IFERROR(__xludf.DUMMYFUNCTION("GOOGLETRANSLATE(E3326, ""zh-CN"", ""en"")"),"Yunmeng County")</f>
        <v>Yunmeng County</v>
      </c>
      <c r="G3326" s="1">
        <v>4.20923E11</v>
      </c>
    </row>
    <row r="3327">
      <c r="A3327" s="1" t="s">
        <v>2976</v>
      </c>
      <c r="B3327" s="1" t="str">
        <f>IFERROR(__xludf.DUMMYFUNCTION("GOOGLETRANSLATE(A3253, ""zh-CN"", ""en"")"),"Hubei Province")</f>
        <v>Hubei Province</v>
      </c>
      <c r="C3327" s="1" t="s">
        <v>2984</v>
      </c>
      <c r="D3327" s="1" t="str">
        <f>IFERROR(__xludf.DUMMYFUNCTION("GOOGLETRANSLATE(C3327, ""zh-CN"", ""en"")"),"Xiaogan City")</f>
        <v>Xiaogan City</v>
      </c>
      <c r="E3327" s="1" t="s">
        <v>3050</v>
      </c>
      <c r="F3327" s="1" t="str">
        <f>IFERROR(__xludf.DUMMYFUNCTION("GOOGLETRANSLATE(E3327, ""zh-CN"", ""en"")"),"Cities")</f>
        <v>Cities</v>
      </c>
      <c r="G3327" s="1">
        <v>4.20981E11</v>
      </c>
    </row>
    <row r="3328">
      <c r="A3328" s="1" t="s">
        <v>2976</v>
      </c>
      <c r="B3328" s="1" t="str">
        <f>IFERROR(__xludf.DUMMYFUNCTION("GOOGLETRANSLATE(A3254, ""zh-CN"", ""en"")"),"Hubei Province")</f>
        <v>Hubei Province</v>
      </c>
      <c r="C3328" s="1" t="s">
        <v>2984</v>
      </c>
      <c r="D3328" s="1" t="str">
        <f>IFERROR(__xludf.DUMMYFUNCTION("GOOGLETRANSLATE(C3328, ""zh-CN"", ""en"")"),"Xiaogan City")</f>
        <v>Xiaogan City</v>
      </c>
      <c r="E3328" s="1" t="s">
        <v>3051</v>
      </c>
      <c r="F3328" s="1" t="str">
        <f>IFERROR(__xludf.DUMMYFUNCTION("GOOGLETRANSLATE(E3328, ""zh-CN"", ""en"")"),"Anlu City")</f>
        <v>Anlu City</v>
      </c>
      <c r="G3328" s="1">
        <v>4.20982E11</v>
      </c>
    </row>
    <row r="3329">
      <c r="A3329" s="1" t="s">
        <v>2976</v>
      </c>
      <c r="B3329" s="1" t="str">
        <f>IFERROR(__xludf.DUMMYFUNCTION("GOOGLETRANSLATE(A3255, ""zh-CN"", ""en"")"),"Hubei Province")</f>
        <v>Hubei Province</v>
      </c>
      <c r="C3329" s="1" t="s">
        <v>2984</v>
      </c>
      <c r="D3329" s="1" t="str">
        <f>IFERROR(__xludf.DUMMYFUNCTION("GOOGLETRANSLATE(C3329, ""zh-CN"", ""en"")"),"Xiaogan City")</f>
        <v>Xiaogan City</v>
      </c>
      <c r="E3329" s="1" t="s">
        <v>3052</v>
      </c>
      <c r="F3329" s="1" t="str">
        <f>IFERROR(__xludf.DUMMYFUNCTION("GOOGLETRANSLATE(E3329, ""zh-CN"", ""en"")"),"Hanchuan City")</f>
        <v>Hanchuan City</v>
      </c>
      <c r="G3329" s="1">
        <v>4.20984E11</v>
      </c>
    </row>
    <row r="3330">
      <c r="A3330" s="1" t="s">
        <v>2976</v>
      </c>
      <c r="B3330" s="1" t="str">
        <f>IFERROR(__xludf.DUMMYFUNCTION("GOOGLETRANSLATE(A3256, ""zh-CN"", ""en"")"),"Hubei Province")</f>
        <v>Hubei Province</v>
      </c>
      <c r="C3330" s="1" t="s">
        <v>2985</v>
      </c>
      <c r="D3330" s="1" t="str">
        <f>IFERROR(__xludf.DUMMYFUNCTION("GOOGLETRANSLATE(C3330, ""zh-CN"", ""en"")"),"Jingzhou")</f>
        <v>Jingzhou</v>
      </c>
      <c r="E3330" s="1" t="s">
        <v>24</v>
      </c>
      <c r="F3330" s="1" t="str">
        <f>IFERROR(__xludf.DUMMYFUNCTION("GOOGLETRANSLATE(E3330, ""zh-CN"", ""en"")"),"City area")</f>
        <v>City area</v>
      </c>
      <c r="G3330" s="1">
        <v>4.21001E11</v>
      </c>
    </row>
    <row r="3331">
      <c r="A3331" s="1" t="s">
        <v>2976</v>
      </c>
      <c r="B3331" s="1" t="str">
        <f>IFERROR(__xludf.DUMMYFUNCTION("GOOGLETRANSLATE(A3257, ""zh-CN"", ""en"")"),"Hubei Province")</f>
        <v>Hubei Province</v>
      </c>
      <c r="C3331" s="1" t="s">
        <v>2985</v>
      </c>
      <c r="D3331" s="1" t="str">
        <f>IFERROR(__xludf.DUMMYFUNCTION("GOOGLETRANSLATE(C3331, ""zh-CN"", ""en"")"),"Jingzhou")</f>
        <v>Jingzhou</v>
      </c>
      <c r="E3331" s="1" t="s">
        <v>3053</v>
      </c>
      <c r="F3331" s="1" t="str">
        <f>IFERROR(__xludf.DUMMYFUNCTION("GOOGLETRANSLATE(E3331, ""zh-CN"", ""en"")"),"Sand City")</f>
        <v>Sand City</v>
      </c>
      <c r="G3331" s="1">
        <v>4.21002E11</v>
      </c>
    </row>
    <row r="3332">
      <c r="A3332" s="1" t="s">
        <v>2976</v>
      </c>
      <c r="B3332" s="1" t="str">
        <f>IFERROR(__xludf.DUMMYFUNCTION("GOOGLETRANSLATE(A3258, ""zh-CN"", ""en"")"),"Hubei Province")</f>
        <v>Hubei Province</v>
      </c>
      <c r="C3332" s="1" t="s">
        <v>2985</v>
      </c>
      <c r="D3332" s="1" t="str">
        <f>IFERROR(__xludf.DUMMYFUNCTION("GOOGLETRANSLATE(C3332, ""zh-CN"", ""en"")"),"Jingzhou")</f>
        <v>Jingzhou</v>
      </c>
      <c r="E3332" s="1" t="s">
        <v>3054</v>
      </c>
      <c r="F3332" s="1" t="str">
        <f>IFERROR(__xludf.DUMMYFUNCTION("GOOGLETRANSLATE(E3332, ""zh-CN"", ""en"")"),"Jingzhou District")</f>
        <v>Jingzhou District</v>
      </c>
      <c r="G3332" s="1">
        <v>4.21003E11</v>
      </c>
    </row>
    <row r="3333">
      <c r="A3333" s="1" t="s">
        <v>2976</v>
      </c>
      <c r="B3333" s="1" t="str">
        <f>IFERROR(__xludf.DUMMYFUNCTION("GOOGLETRANSLATE(A3259, ""zh-CN"", ""en"")"),"Hubei Province")</f>
        <v>Hubei Province</v>
      </c>
      <c r="C3333" s="1" t="s">
        <v>2985</v>
      </c>
      <c r="D3333" s="1" t="str">
        <f>IFERROR(__xludf.DUMMYFUNCTION("GOOGLETRANSLATE(C3333, ""zh-CN"", ""en"")"),"Jingzhou")</f>
        <v>Jingzhou</v>
      </c>
      <c r="E3333" s="1" t="s">
        <v>3055</v>
      </c>
      <c r="F3333" s="1" t="str">
        <f>IFERROR(__xludf.DUMMYFUNCTION("GOOGLETRANSLATE(E3333, ""zh-CN"", ""en"")"),"Public security county")</f>
        <v>Public security county</v>
      </c>
      <c r="G3333" s="1">
        <v>4.21022E11</v>
      </c>
    </row>
    <row r="3334">
      <c r="A3334" s="1" t="s">
        <v>2976</v>
      </c>
      <c r="B3334" s="1" t="str">
        <f>IFERROR(__xludf.DUMMYFUNCTION("GOOGLETRANSLATE(A3260, ""zh-CN"", ""en"")"),"Hubei Province")</f>
        <v>Hubei Province</v>
      </c>
      <c r="C3334" s="1" t="s">
        <v>2985</v>
      </c>
      <c r="D3334" s="1" t="str">
        <f>IFERROR(__xludf.DUMMYFUNCTION("GOOGLETRANSLATE(C3334, ""zh-CN"", ""en"")"),"Jingzhou")</f>
        <v>Jingzhou</v>
      </c>
      <c r="E3334" s="1" t="s">
        <v>3056</v>
      </c>
      <c r="F3334" s="1" t="str">
        <f>IFERROR(__xludf.DUMMYFUNCTION("GOOGLETRANSLATE(E3334, ""zh-CN"", ""en"")"),"Jiangling County")</f>
        <v>Jiangling County</v>
      </c>
      <c r="G3334" s="1">
        <v>4.21024E11</v>
      </c>
    </row>
    <row r="3335">
      <c r="A3335" s="1" t="s">
        <v>2976</v>
      </c>
      <c r="B3335" s="1" t="str">
        <f>IFERROR(__xludf.DUMMYFUNCTION("GOOGLETRANSLATE(A3261, ""zh-CN"", ""en"")"),"Hubei Province")</f>
        <v>Hubei Province</v>
      </c>
      <c r="C3335" s="1" t="s">
        <v>2985</v>
      </c>
      <c r="D3335" s="1" t="str">
        <f>IFERROR(__xludf.DUMMYFUNCTION("GOOGLETRANSLATE(C3335, ""zh-CN"", ""en"")"),"Jingzhou")</f>
        <v>Jingzhou</v>
      </c>
      <c r="E3335" s="1" t="s">
        <v>3057</v>
      </c>
      <c r="F3335" s="1" t="str">
        <f>IFERROR(__xludf.DUMMYFUNCTION("GOOGLETRANSLATE(E3335, ""zh-CN"", ""en"")"),"Jingzhou Economic and Technological Development Zone")</f>
        <v>Jingzhou Economic and Technological Development Zone</v>
      </c>
      <c r="G3335" s="1">
        <v>4.21071E11</v>
      </c>
    </row>
    <row r="3336">
      <c r="A3336" s="1" t="s">
        <v>2976</v>
      </c>
      <c r="B3336" s="1" t="str">
        <f>IFERROR(__xludf.DUMMYFUNCTION("GOOGLETRANSLATE(A3262, ""zh-CN"", ""en"")"),"Hubei Province")</f>
        <v>Hubei Province</v>
      </c>
      <c r="C3336" s="1" t="s">
        <v>2985</v>
      </c>
      <c r="D3336" s="1" t="str">
        <f>IFERROR(__xludf.DUMMYFUNCTION("GOOGLETRANSLATE(C3336, ""zh-CN"", ""en"")"),"Jingzhou")</f>
        <v>Jingzhou</v>
      </c>
      <c r="E3336" s="1" t="s">
        <v>3058</v>
      </c>
      <c r="F3336" s="1" t="str">
        <f>IFERROR(__xludf.DUMMYFUNCTION("GOOGLETRANSLATE(E3336, ""zh-CN"", ""en"")"),"Shishou City")</f>
        <v>Shishou City</v>
      </c>
      <c r="G3336" s="1">
        <v>4.21081E11</v>
      </c>
    </row>
    <row r="3337">
      <c r="A3337" s="1" t="s">
        <v>2976</v>
      </c>
      <c r="B3337" s="1" t="str">
        <f>IFERROR(__xludf.DUMMYFUNCTION("GOOGLETRANSLATE(A3263, ""zh-CN"", ""en"")"),"Hubei Province")</f>
        <v>Hubei Province</v>
      </c>
      <c r="C3337" s="1" t="s">
        <v>2985</v>
      </c>
      <c r="D3337" s="1" t="str">
        <f>IFERROR(__xludf.DUMMYFUNCTION("GOOGLETRANSLATE(C3337, ""zh-CN"", ""en"")"),"Jingzhou")</f>
        <v>Jingzhou</v>
      </c>
      <c r="E3337" s="1" t="s">
        <v>3059</v>
      </c>
      <c r="F3337" s="1" t="str">
        <f>IFERROR(__xludf.DUMMYFUNCTION("GOOGLETRANSLATE(E3337, ""zh-CN"", ""en"")"),"Honghu City")</f>
        <v>Honghu City</v>
      </c>
      <c r="G3337" s="1">
        <v>4.21083E11</v>
      </c>
    </row>
    <row r="3338">
      <c r="A3338" s="1" t="s">
        <v>2976</v>
      </c>
      <c r="B3338" s="1" t="str">
        <f>IFERROR(__xludf.DUMMYFUNCTION("GOOGLETRANSLATE(A3264, ""zh-CN"", ""en"")"),"Hubei Province")</f>
        <v>Hubei Province</v>
      </c>
      <c r="C3338" s="1" t="s">
        <v>2985</v>
      </c>
      <c r="D3338" s="1" t="str">
        <f>IFERROR(__xludf.DUMMYFUNCTION("GOOGLETRANSLATE(C3338, ""zh-CN"", ""en"")"),"Jingzhou")</f>
        <v>Jingzhou</v>
      </c>
      <c r="E3338" s="1" t="s">
        <v>3060</v>
      </c>
      <c r="F3338" s="1" t="str">
        <f>IFERROR(__xludf.DUMMYFUNCTION("GOOGLETRANSLATE(E3338, ""zh-CN"", ""en"")"),"Songzi City")</f>
        <v>Songzi City</v>
      </c>
      <c r="G3338" s="1">
        <v>4.21087E11</v>
      </c>
    </row>
    <row r="3339">
      <c r="A3339" s="1" t="s">
        <v>2976</v>
      </c>
      <c r="B3339" s="1" t="str">
        <f>IFERROR(__xludf.DUMMYFUNCTION("GOOGLETRANSLATE(A3265, ""zh-CN"", ""en"")"),"Hubei Province")</f>
        <v>Hubei Province</v>
      </c>
      <c r="C3339" s="1" t="s">
        <v>2985</v>
      </c>
      <c r="D3339" s="1" t="str">
        <f>IFERROR(__xludf.DUMMYFUNCTION("GOOGLETRANSLATE(C3339, ""zh-CN"", ""en"")"),"Jingzhou")</f>
        <v>Jingzhou</v>
      </c>
      <c r="E3339" s="1" t="s">
        <v>3061</v>
      </c>
      <c r="F3339" s="1" t="str">
        <f>IFERROR(__xludf.DUMMYFUNCTION("GOOGLETRANSLATE(E3339, ""zh-CN"", ""en"")"),"Jianli City")</f>
        <v>Jianli City</v>
      </c>
      <c r="G3339" s="1">
        <v>4.21088E11</v>
      </c>
    </row>
    <row r="3340">
      <c r="A3340" s="1" t="s">
        <v>2976</v>
      </c>
      <c r="B3340" s="1" t="str">
        <f>IFERROR(__xludf.DUMMYFUNCTION("GOOGLETRANSLATE(A3266, ""zh-CN"", ""en"")"),"Hubei Province")</f>
        <v>Hubei Province</v>
      </c>
      <c r="C3340" s="1" t="s">
        <v>2986</v>
      </c>
      <c r="D3340" s="1" t="str">
        <f>IFERROR(__xludf.DUMMYFUNCTION("GOOGLETRANSLATE(C3340, ""zh-CN"", ""en"")"),"Huanggang City")</f>
        <v>Huanggang City</v>
      </c>
      <c r="E3340" s="1" t="s">
        <v>24</v>
      </c>
      <c r="F3340" s="1" t="str">
        <f>IFERROR(__xludf.DUMMYFUNCTION("GOOGLETRANSLATE(E3340, ""zh-CN"", ""en"")"),"City area")</f>
        <v>City area</v>
      </c>
      <c r="G3340" s="1">
        <v>4.21101E11</v>
      </c>
    </row>
    <row r="3341">
      <c r="A3341" s="1" t="s">
        <v>2976</v>
      </c>
      <c r="B3341" s="1" t="str">
        <f>IFERROR(__xludf.DUMMYFUNCTION("GOOGLETRANSLATE(A3267, ""zh-CN"", ""en"")"),"Hubei Province")</f>
        <v>Hubei Province</v>
      </c>
      <c r="C3341" s="1" t="s">
        <v>2986</v>
      </c>
      <c r="D3341" s="1" t="str">
        <f>IFERROR(__xludf.DUMMYFUNCTION("GOOGLETRANSLATE(C3341, ""zh-CN"", ""en"")"),"Huanggang City")</f>
        <v>Huanggang City</v>
      </c>
      <c r="E3341" s="1" t="s">
        <v>3062</v>
      </c>
      <c r="F3341" s="1" t="str">
        <f>IFERROR(__xludf.DUMMYFUNCTION("GOOGLETRANSLATE(E3341, ""zh-CN"", ""en"")"),"Huangzhou District")</f>
        <v>Huangzhou District</v>
      </c>
      <c r="G3341" s="1">
        <v>4.21102E11</v>
      </c>
    </row>
    <row r="3342">
      <c r="A3342" s="1" t="s">
        <v>2976</v>
      </c>
      <c r="B3342" s="1" t="str">
        <f>IFERROR(__xludf.DUMMYFUNCTION("GOOGLETRANSLATE(A3268, ""zh-CN"", ""en"")"),"Hubei Province")</f>
        <v>Hubei Province</v>
      </c>
      <c r="C3342" s="1" t="s">
        <v>2986</v>
      </c>
      <c r="D3342" s="1" t="str">
        <f>IFERROR(__xludf.DUMMYFUNCTION("GOOGLETRANSLATE(C3342, ""zh-CN"", ""en"")"),"Huanggang City")</f>
        <v>Huanggang City</v>
      </c>
      <c r="E3342" s="1" t="s">
        <v>3063</v>
      </c>
      <c r="F3342" s="1" t="str">
        <f>IFERROR(__xludf.DUMMYFUNCTION("GOOGLETRANSLATE(E3342, ""zh-CN"", ""en"")"),"Tuanfeng County")</f>
        <v>Tuanfeng County</v>
      </c>
      <c r="G3342" s="1">
        <v>4.21121E11</v>
      </c>
    </row>
    <row r="3343">
      <c r="A3343" s="1" t="s">
        <v>2976</v>
      </c>
      <c r="B3343" s="1" t="str">
        <f>IFERROR(__xludf.DUMMYFUNCTION("GOOGLETRANSLATE(A3269, ""zh-CN"", ""en"")"),"Hubei Province")</f>
        <v>Hubei Province</v>
      </c>
      <c r="C3343" s="1" t="s">
        <v>2986</v>
      </c>
      <c r="D3343" s="1" t="str">
        <f>IFERROR(__xludf.DUMMYFUNCTION("GOOGLETRANSLATE(C3343, ""zh-CN"", ""en"")"),"Huanggang City")</f>
        <v>Huanggang City</v>
      </c>
      <c r="E3343" s="1" t="s">
        <v>3064</v>
      </c>
      <c r="F3343" s="1" t="str">
        <f>IFERROR(__xludf.DUMMYFUNCTION("GOOGLETRANSLATE(E3343, ""zh-CN"", ""en"")"),"Hong'an County")</f>
        <v>Hong'an County</v>
      </c>
      <c r="G3343" s="1">
        <v>4.21122E11</v>
      </c>
    </row>
    <row r="3344">
      <c r="A3344" s="1" t="s">
        <v>2976</v>
      </c>
      <c r="B3344" s="1" t="str">
        <f>IFERROR(__xludf.DUMMYFUNCTION("GOOGLETRANSLATE(A3270, ""zh-CN"", ""en"")"),"Hubei Province")</f>
        <v>Hubei Province</v>
      </c>
      <c r="C3344" s="1" t="s">
        <v>2986</v>
      </c>
      <c r="D3344" s="1" t="str">
        <f>IFERROR(__xludf.DUMMYFUNCTION("GOOGLETRANSLATE(C3344, ""zh-CN"", ""en"")"),"Huanggang City")</f>
        <v>Huanggang City</v>
      </c>
      <c r="E3344" s="1" t="s">
        <v>3065</v>
      </c>
      <c r="F3344" s="1" t="str">
        <f>IFERROR(__xludf.DUMMYFUNCTION("GOOGLETRANSLATE(E3344, ""zh-CN"", ""en"")"),"Luotian County")</f>
        <v>Luotian County</v>
      </c>
      <c r="G3344" s="1">
        <v>4.21123E11</v>
      </c>
    </row>
    <row r="3345">
      <c r="A3345" s="1" t="s">
        <v>2976</v>
      </c>
      <c r="B3345" s="1" t="str">
        <f>IFERROR(__xludf.DUMMYFUNCTION("GOOGLETRANSLATE(A3271, ""zh-CN"", ""en"")"),"Hubei Province")</f>
        <v>Hubei Province</v>
      </c>
      <c r="C3345" s="1" t="s">
        <v>2986</v>
      </c>
      <c r="D3345" s="1" t="str">
        <f>IFERROR(__xludf.DUMMYFUNCTION("GOOGLETRANSLATE(C3345, ""zh-CN"", ""en"")"),"Huanggang City")</f>
        <v>Huanggang City</v>
      </c>
      <c r="E3345" s="1" t="s">
        <v>3066</v>
      </c>
      <c r="F3345" s="1" t="str">
        <f>IFERROR(__xludf.DUMMYFUNCTION("GOOGLETRANSLATE(E3345, ""zh-CN"", ""en"")"),"Yingshan County")</f>
        <v>Yingshan County</v>
      </c>
      <c r="G3345" s="1">
        <v>4.21124E11</v>
      </c>
    </row>
    <row r="3346">
      <c r="A3346" s="1" t="s">
        <v>2976</v>
      </c>
      <c r="B3346" s="1" t="str">
        <f>IFERROR(__xludf.DUMMYFUNCTION("GOOGLETRANSLATE(A3272, ""zh-CN"", ""en"")"),"Hubei Province")</f>
        <v>Hubei Province</v>
      </c>
      <c r="C3346" s="1" t="s">
        <v>2986</v>
      </c>
      <c r="D3346" s="1" t="str">
        <f>IFERROR(__xludf.DUMMYFUNCTION("GOOGLETRANSLATE(C3346, ""zh-CN"", ""en"")"),"Huanggang City")</f>
        <v>Huanggang City</v>
      </c>
      <c r="E3346" s="1" t="s">
        <v>3067</v>
      </c>
      <c r="F3346" s="1" t="str">
        <f>IFERROR(__xludf.DUMMYFUNCTION("GOOGLETRANSLATE(E3346, ""zh-CN"", ""en"")"),"Lishui County")</f>
        <v>Lishui County</v>
      </c>
      <c r="G3346" s="1">
        <v>4.21125E11</v>
      </c>
    </row>
    <row r="3347">
      <c r="A3347" s="1" t="s">
        <v>2976</v>
      </c>
      <c r="B3347" s="1" t="str">
        <f>IFERROR(__xludf.DUMMYFUNCTION("GOOGLETRANSLATE(A3273, ""zh-CN"", ""en"")"),"Hubei Province")</f>
        <v>Hubei Province</v>
      </c>
      <c r="C3347" s="1" t="s">
        <v>2986</v>
      </c>
      <c r="D3347" s="1" t="str">
        <f>IFERROR(__xludf.DUMMYFUNCTION("GOOGLETRANSLATE(C3347, ""zh-CN"", ""en"")"),"Huanggang City")</f>
        <v>Huanggang City</v>
      </c>
      <c r="E3347" s="1" t="s">
        <v>3068</v>
      </c>
      <c r="F3347" s="1" t="str">
        <f>IFERROR(__xludf.DUMMYFUNCTION("GOOGLETRANSLATE(E3347, ""zh-CN"", ""en"")"),"Xunchun County")</f>
        <v>Xunchun County</v>
      </c>
      <c r="G3347" s="1">
        <v>4.21126E11</v>
      </c>
    </row>
    <row r="3348">
      <c r="A3348" s="1" t="s">
        <v>2976</v>
      </c>
      <c r="B3348" s="1" t="str">
        <f>IFERROR(__xludf.DUMMYFUNCTION("GOOGLETRANSLATE(A3274, ""zh-CN"", ""en"")"),"Hubei Province")</f>
        <v>Hubei Province</v>
      </c>
      <c r="C3348" s="1" t="s">
        <v>2986</v>
      </c>
      <c r="D3348" s="1" t="str">
        <f>IFERROR(__xludf.DUMMYFUNCTION("GOOGLETRANSLATE(C3348, ""zh-CN"", ""en"")"),"Huanggang City")</f>
        <v>Huanggang City</v>
      </c>
      <c r="E3348" s="1" t="s">
        <v>3069</v>
      </c>
      <c r="F3348" s="1" t="str">
        <f>IFERROR(__xludf.DUMMYFUNCTION("GOOGLETRANSLATE(E3348, ""zh-CN"", ""en"")"),"Huangmei County")</f>
        <v>Huangmei County</v>
      </c>
      <c r="G3348" s="1">
        <v>4.21127E11</v>
      </c>
    </row>
    <row r="3349">
      <c r="A3349" s="1" t="s">
        <v>2976</v>
      </c>
      <c r="B3349" s="1" t="str">
        <f>IFERROR(__xludf.DUMMYFUNCTION("GOOGLETRANSLATE(A3275, ""zh-CN"", ""en"")"),"Hubei Province")</f>
        <v>Hubei Province</v>
      </c>
      <c r="C3349" s="1" t="s">
        <v>2986</v>
      </c>
      <c r="D3349" s="1" t="str">
        <f>IFERROR(__xludf.DUMMYFUNCTION("GOOGLETRANSLATE(C3349, ""zh-CN"", ""en"")"),"Huanggang City")</f>
        <v>Huanggang City</v>
      </c>
      <c r="E3349" s="1" t="s">
        <v>3070</v>
      </c>
      <c r="F3349" s="1" t="str">
        <f>IFERROR(__xludf.DUMMYFUNCTION("GOOGLETRANSLATE(E3349, ""zh-CN"", ""en"")"),"Dragon Lake Management Area")</f>
        <v>Dragon Lake Management Area</v>
      </c>
      <c r="G3349" s="1">
        <v>4.21171E11</v>
      </c>
    </row>
    <row r="3350">
      <c r="A3350" s="1" t="s">
        <v>2976</v>
      </c>
      <c r="B3350" s="1" t="str">
        <f>IFERROR(__xludf.DUMMYFUNCTION("GOOGLETRANSLATE(A3276, ""zh-CN"", ""en"")"),"Hubei Province")</f>
        <v>Hubei Province</v>
      </c>
      <c r="C3350" s="1" t="s">
        <v>2986</v>
      </c>
      <c r="D3350" s="1" t="str">
        <f>IFERROR(__xludf.DUMMYFUNCTION("GOOGLETRANSLATE(C3350, ""zh-CN"", ""en"")"),"Huanggang City")</f>
        <v>Huanggang City</v>
      </c>
      <c r="E3350" s="1" t="s">
        <v>3071</v>
      </c>
      <c r="F3350" s="1" t="str">
        <f>IFERROR(__xludf.DUMMYFUNCTION("GOOGLETRANSLATE(E3350, ""zh-CN"", ""en"")"),"Macheng City")</f>
        <v>Macheng City</v>
      </c>
      <c r="G3350" s="1">
        <v>4.21181E11</v>
      </c>
    </row>
    <row r="3351">
      <c r="A3351" s="1" t="s">
        <v>2976</v>
      </c>
      <c r="B3351" s="1" t="str">
        <f>IFERROR(__xludf.DUMMYFUNCTION("GOOGLETRANSLATE(A3277, ""zh-CN"", ""en"")"),"Hubei Province")</f>
        <v>Hubei Province</v>
      </c>
      <c r="C3351" s="1" t="s">
        <v>2986</v>
      </c>
      <c r="D3351" s="1" t="str">
        <f>IFERROR(__xludf.DUMMYFUNCTION("GOOGLETRANSLATE(C3351, ""zh-CN"", ""en"")"),"Huanggang City")</f>
        <v>Huanggang City</v>
      </c>
      <c r="E3351" s="1" t="s">
        <v>3072</v>
      </c>
      <c r="F3351" s="1" t="str">
        <f>IFERROR(__xludf.DUMMYFUNCTION("GOOGLETRANSLATE(E3351, ""zh-CN"", ""en"")"),"Martial")</f>
        <v>Martial</v>
      </c>
      <c r="G3351" s="1">
        <v>4.21182E11</v>
      </c>
    </row>
    <row r="3352">
      <c r="A3352" s="1" t="s">
        <v>2976</v>
      </c>
      <c r="B3352" s="1" t="str">
        <f>IFERROR(__xludf.DUMMYFUNCTION("GOOGLETRANSLATE(A3278, ""zh-CN"", ""en"")"),"Hubei Province")</f>
        <v>Hubei Province</v>
      </c>
      <c r="C3352" s="1" t="s">
        <v>2987</v>
      </c>
      <c r="D3352" s="1" t="str">
        <f>IFERROR(__xludf.DUMMYFUNCTION("GOOGLETRANSLATE(C3352, ""zh-CN"", ""en"")"),"Xianning City")</f>
        <v>Xianning City</v>
      </c>
      <c r="E3352" s="1" t="s">
        <v>24</v>
      </c>
      <c r="F3352" s="1" t="str">
        <f>IFERROR(__xludf.DUMMYFUNCTION("GOOGLETRANSLATE(E3352, ""zh-CN"", ""en"")"),"City area")</f>
        <v>City area</v>
      </c>
      <c r="G3352" s="1">
        <v>4.21201E11</v>
      </c>
    </row>
    <row r="3353">
      <c r="A3353" s="1" t="s">
        <v>2976</v>
      </c>
      <c r="B3353" s="1" t="str">
        <f>IFERROR(__xludf.DUMMYFUNCTION("GOOGLETRANSLATE(A3279, ""zh-CN"", ""en"")"),"Hubei Province")</f>
        <v>Hubei Province</v>
      </c>
      <c r="C3353" s="1" t="s">
        <v>2987</v>
      </c>
      <c r="D3353" s="1" t="str">
        <f>IFERROR(__xludf.DUMMYFUNCTION("GOOGLETRANSLATE(C3353, ""zh-CN"", ""en"")"),"Xianning City")</f>
        <v>Xianning City</v>
      </c>
      <c r="E3353" s="1" t="s">
        <v>3073</v>
      </c>
      <c r="F3353" s="1" t="str">
        <f>IFERROR(__xludf.DUMMYFUNCTION("GOOGLETRANSLATE(E3353, ""zh-CN"", ""en"")"),"Xian'an District")</f>
        <v>Xian'an District</v>
      </c>
      <c r="G3353" s="1">
        <v>4.21202E11</v>
      </c>
    </row>
    <row r="3354">
      <c r="A3354" s="1" t="s">
        <v>2976</v>
      </c>
      <c r="B3354" s="1" t="str">
        <f>IFERROR(__xludf.DUMMYFUNCTION("GOOGLETRANSLATE(A3280, ""zh-CN"", ""en"")"),"Hubei Province")</f>
        <v>Hubei Province</v>
      </c>
      <c r="C3354" s="1" t="s">
        <v>2987</v>
      </c>
      <c r="D3354" s="1" t="str">
        <f>IFERROR(__xludf.DUMMYFUNCTION("GOOGLETRANSLATE(C3354, ""zh-CN"", ""en"")"),"Xianning City")</f>
        <v>Xianning City</v>
      </c>
      <c r="E3354" s="1" t="s">
        <v>3074</v>
      </c>
      <c r="F3354" s="1" t="str">
        <f>IFERROR(__xludf.DUMMYFUNCTION("GOOGLETRANSLATE(E3354, ""zh-CN"", ""en"")"),"Jiayu County")</f>
        <v>Jiayu County</v>
      </c>
      <c r="G3354" s="1">
        <v>4.21221E11</v>
      </c>
    </row>
    <row r="3355">
      <c r="A3355" s="1" t="s">
        <v>2976</v>
      </c>
      <c r="B3355" s="1" t="str">
        <f>IFERROR(__xludf.DUMMYFUNCTION("GOOGLETRANSLATE(A3281, ""zh-CN"", ""en"")"),"Hubei Province")</f>
        <v>Hubei Province</v>
      </c>
      <c r="C3355" s="1" t="s">
        <v>2987</v>
      </c>
      <c r="D3355" s="1" t="str">
        <f>IFERROR(__xludf.DUMMYFUNCTION("GOOGLETRANSLATE(C3355, ""zh-CN"", ""en"")"),"Xianning City")</f>
        <v>Xianning City</v>
      </c>
      <c r="E3355" s="1" t="s">
        <v>3075</v>
      </c>
      <c r="F3355" s="1" t="str">
        <f>IFERROR(__xludf.DUMMYFUNCTION("GOOGLETRANSLATE(E3355, ""zh-CN"", ""en"")"),"Tongcheng County")</f>
        <v>Tongcheng County</v>
      </c>
      <c r="G3355" s="1">
        <v>4.21222E11</v>
      </c>
    </row>
    <row r="3356">
      <c r="A3356" s="1" t="s">
        <v>2976</v>
      </c>
      <c r="B3356" s="1" t="str">
        <f>IFERROR(__xludf.DUMMYFUNCTION("GOOGLETRANSLATE(A3282, ""zh-CN"", ""en"")"),"Hubei Province")</f>
        <v>Hubei Province</v>
      </c>
      <c r="C3356" s="1" t="s">
        <v>2987</v>
      </c>
      <c r="D3356" s="1" t="str">
        <f>IFERROR(__xludf.DUMMYFUNCTION("GOOGLETRANSLATE(C3356, ""zh-CN"", ""en"")"),"Xianning City")</f>
        <v>Xianning City</v>
      </c>
      <c r="E3356" s="1" t="s">
        <v>3076</v>
      </c>
      <c r="F3356" s="1" t="str">
        <f>IFERROR(__xludf.DUMMYFUNCTION("GOOGLETRANSLATE(E3356, ""zh-CN"", ""en"")"),"Chongyang County")</f>
        <v>Chongyang County</v>
      </c>
      <c r="G3356" s="1">
        <v>4.21223E11</v>
      </c>
    </row>
    <row r="3357">
      <c r="A3357" s="1" t="s">
        <v>2976</v>
      </c>
      <c r="B3357" s="1" t="str">
        <f>IFERROR(__xludf.DUMMYFUNCTION("GOOGLETRANSLATE(A3283, ""zh-CN"", ""en"")"),"Hubei Province")</f>
        <v>Hubei Province</v>
      </c>
      <c r="C3357" s="1" t="s">
        <v>2987</v>
      </c>
      <c r="D3357" s="1" t="str">
        <f>IFERROR(__xludf.DUMMYFUNCTION("GOOGLETRANSLATE(C3357, ""zh-CN"", ""en"")"),"Xianning City")</f>
        <v>Xianning City</v>
      </c>
      <c r="E3357" s="1" t="s">
        <v>3077</v>
      </c>
      <c r="F3357" s="1" t="str">
        <f>IFERROR(__xludf.DUMMYFUNCTION("GOOGLETRANSLATE(E3357, ""zh-CN"", ""en"")"),"Tongshan County")</f>
        <v>Tongshan County</v>
      </c>
      <c r="G3357" s="1">
        <v>4.21224E11</v>
      </c>
    </row>
    <row r="3358">
      <c r="A3358" s="1" t="s">
        <v>2976</v>
      </c>
      <c r="B3358" s="1" t="str">
        <f>IFERROR(__xludf.DUMMYFUNCTION("GOOGLETRANSLATE(A3284, ""zh-CN"", ""en"")"),"Hubei Province")</f>
        <v>Hubei Province</v>
      </c>
      <c r="C3358" s="1" t="s">
        <v>2987</v>
      </c>
      <c r="D3358" s="1" t="str">
        <f>IFERROR(__xludf.DUMMYFUNCTION("GOOGLETRANSLATE(C3358, ""zh-CN"", ""en"")"),"Xianning City")</f>
        <v>Xianning City</v>
      </c>
      <c r="E3358" s="1" t="s">
        <v>3078</v>
      </c>
      <c r="F3358" s="1" t="str">
        <f>IFERROR(__xludf.DUMMYFUNCTION("GOOGLETRANSLATE(E3358, ""zh-CN"", ""en"")"),"Chibi City")</f>
        <v>Chibi City</v>
      </c>
      <c r="G3358" s="1">
        <v>4.21281E11</v>
      </c>
    </row>
    <row r="3359">
      <c r="A3359" s="1" t="s">
        <v>2976</v>
      </c>
      <c r="B3359" s="1" t="str">
        <f>IFERROR(__xludf.DUMMYFUNCTION("GOOGLETRANSLATE(A3285, ""zh-CN"", ""en"")"),"Hubei Province")</f>
        <v>Hubei Province</v>
      </c>
      <c r="C3359" s="1" t="s">
        <v>2988</v>
      </c>
      <c r="D3359" s="1" t="str">
        <f>IFERROR(__xludf.DUMMYFUNCTION("GOOGLETRANSLATE(C3359, ""zh-CN"", ""en"")"),"Suizhou")</f>
        <v>Suizhou</v>
      </c>
      <c r="E3359" s="1" t="s">
        <v>24</v>
      </c>
      <c r="F3359" s="1" t="str">
        <f>IFERROR(__xludf.DUMMYFUNCTION("GOOGLETRANSLATE(E3359, ""zh-CN"", ""en"")"),"City area")</f>
        <v>City area</v>
      </c>
      <c r="G3359" s="1">
        <v>4.21301E11</v>
      </c>
    </row>
    <row r="3360">
      <c r="A3360" s="1" t="s">
        <v>2976</v>
      </c>
      <c r="B3360" s="1" t="str">
        <f>IFERROR(__xludf.DUMMYFUNCTION("GOOGLETRANSLATE(A3286, ""zh-CN"", ""en"")"),"Hubei Province")</f>
        <v>Hubei Province</v>
      </c>
      <c r="C3360" s="1" t="s">
        <v>2988</v>
      </c>
      <c r="D3360" s="1" t="str">
        <f>IFERROR(__xludf.DUMMYFUNCTION("GOOGLETRANSLATE(C3360, ""zh-CN"", ""en"")"),"Suizhou")</f>
        <v>Suizhou</v>
      </c>
      <c r="E3360" s="1" t="s">
        <v>3079</v>
      </c>
      <c r="F3360" s="1" t="str">
        <f>IFERROR(__xludf.DUMMYFUNCTION("GOOGLETRANSLATE(E3360, ""zh-CN"", ""en"")"),"Zengdu District")</f>
        <v>Zengdu District</v>
      </c>
      <c r="G3360" s="1">
        <v>4.21303E11</v>
      </c>
    </row>
    <row r="3361">
      <c r="A3361" s="1" t="s">
        <v>2976</v>
      </c>
      <c r="B3361" s="1" t="str">
        <f>IFERROR(__xludf.DUMMYFUNCTION("GOOGLETRANSLATE(A3287, ""zh-CN"", ""en"")"),"Hubei Province")</f>
        <v>Hubei Province</v>
      </c>
      <c r="C3361" s="1" t="s">
        <v>2988</v>
      </c>
      <c r="D3361" s="1" t="str">
        <f>IFERROR(__xludf.DUMMYFUNCTION("GOOGLETRANSLATE(C3361, ""zh-CN"", ""en"")"),"Suizhou")</f>
        <v>Suizhou</v>
      </c>
      <c r="E3361" s="1" t="s">
        <v>3080</v>
      </c>
      <c r="F3361" s="1" t="str">
        <f>IFERROR(__xludf.DUMMYFUNCTION("GOOGLETRANSLATE(E3361, ""zh-CN"", ""en"")"),"Follow the county")</f>
        <v>Follow the county</v>
      </c>
      <c r="G3361" s="1">
        <v>4.21321E11</v>
      </c>
    </row>
    <row r="3362">
      <c r="A3362" s="1" t="s">
        <v>2976</v>
      </c>
      <c r="B3362" s="1" t="str">
        <f>IFERROR(__xludf.DUMMYFUNCTION("GOOGLETRANSLATE(A3288, ""zh-CN"", ""en"")"),"Hubei Province")</f>
        <v>Hubei Province</v>
      </c>
      <c r="C3362" s="1" t="s">
        <v>2988</v>
      </c>
      <c r="D3362" s="1" t="str">
        <f>IFERROR(__xludf.DUMMYFUNCTION("GOOGLETRANSLATE(C3362, ""zh-CN"", ""en"")"),"Suizhou")</f>
        <v>Suizhou</v>
      </c>
      <c r="E3362" s="1" t="s">
        <v>3081</v>
      </c>
      <c r="F3362" s="1" t="str">
        <f>IFERROR(__xludf.DUMMYFUNCTION("GOOGLETRANSLATE(E3362, ""zh-CN"", ""en"")"),"Guangshui City")</f>
        <v>Guangshui City</v>
      </c>
      <c r="G3362" s="1">
        <v>4.21381E11</v>
      </c>
    </row>
    <row r="3363">
      <c r="A3363" s="1" t="s">
        <v>2976</v>
      </c>
      <c r="B3363" s="1" t="str">
        <f>IFERROR(__xludf.DUMMYFUNCTION("GOOGLETRANSLATE(A3289, ""zh-CN"", ""en"")"),"Hubei Province")</f>
        <v>Hubei Province</v>
      </c>
      <c r="C3363" s="1" t="s">
        <v>2989</v>
      </c>
      <c r="D3363" s="1" t="str">
        <f>IFERROR(__xludf.DUMMYFUNCTION("GOOGLETRANSLATE(C3363, ""zh-CN"", ""en"")"),"Enshi Tu Family Miao Autonomous Prefecture")</f>
        <v>Enshi Tu Family Miao Autonomous Prefecture</v>
      </c>
      <c r="E3363" s="1" t="s">
        <v>3082</v>
      </c>
      <c r="F3363" s="1" t="str">
        <f>IFERROR(__xludf.DUMMYFUNCTION("GOOGLETRANSLATE(E3363, ""zh-CN"", ""en"")"),"Enshi")</f>
        <v>Enshi</v>
      </c>
      <c r="G3363" s="1">
        <v>4.22801E11</v>
      </c>
    </row>
    <row r="3364">
      <c r="A3364" s="1" t="s">
        <v>2976</v>
      </c>
      <c r="B3364" s="1" t="str">
        <f>IFERROR(__xludf.DUMMYFUNCTION("GOOGLETRANSLATE(A3290, ""zh-CN"", ""en"")"),"Hubei Province")</f>
        <v>Hubei Province</v>
      </c>
      <c r="C3364" s="1" t="s">
        <v>2989</v>
      </c>
      <c r="D3364" s="1" t="str">
        <f>IFERROR(__xludf.DUMMYFUNCTION("GOOGLETRANSLATE(C3364, ""zh-CN"", ""en"")"),"Enshi Tu Family Miao Autonomous Prefecture")</f>
        <v>Enshi Tu Family Miao Autonomous Prefecture</v>
      </c>
      <c r="E3364" s="1" t="s">
        <v>3083</v>
      </c>
      <c r="F3364" s="1" t="str">
        <f>IFERROR(__xludf.DUMMYFUNCTION("GOOGLETRANSLATE(E3364, ""zh-CN"", ""en"")"),"Lichuan City")</f>
        <v>Lichuan City</v>
      </c>
      <c r="G3364" s="1">
        <v>4.22802E11</v>
      </c>
    </row>
    <row r="3365">
      <c r="A3365" s="1" t="s">
        <v>2976</v>
      </c>
      <c r="B3365" s="1" t="str">
        <f>IFERROR(__xludf.DUMMYFUNCTION("GOOGLETRANSLATE(A3291, ""zh-CN"", ""en"")"),"Hubei Province")</f>
        <v>Hubei Province</v>
      </c>
      <c r="C3365" s="1" t="s">
        <v>2989</v>
      </c>
      <c r="D3365" s="1" t="str">
        <f>IFERROR(__xludf.DUMMYFUNCTION("GOOGLETRANSLATE(C3365, ""zh-CN"", ""en"")"),"Enshi Tu Family Miao Autonomous Prefecture")</f>
        <v>Enshi Tu Family Miao Autonomous Prefecture</v>
      </c>
      <c r="E3365" s="1" t="s">
        <v>3084</v>
      </c>
      <c r="F3365" s="1" t="str">
        <f>IFERROR(__xludf.DUMMYFUNCTION("GOOGLETRANSLATE(E3365, ""zh-CN"", ""en"")"),"Jianchi County")</f>
        <v>Jianchi County</v>
      </c>
      <c r="G3365" s="1">
        <v>4.22822E11</v>
      </c>
    </row>
    <row r="3366">
      <c r="A3366" s="1" t="s">
        <v>2976</v>
      </c>
      <c r="B3366" s="1" t="str">
        <f>IFERROR(__xludf.DUMMYFUNCTION("GOOGLETRANSLATE(A3292, ""zh-CN"", ""en"")"),"Hubei Province")</f>
        <v>Hubei Province</v>
      </c>
      <c r="C3366" s="1" t="s">
        <v>2989</v>
      </c>
      <c r="D3366" s="1" t="str">
        <f>IFERROR(__xludf.DUMMYFUNCTION("GOOGLETRANSLATE(C3366, ""zh-CN"", ""en"")"),"Enshi Tu Family Miao Autonomous Prefecture")</f>
        <v>Enshi Tu Family Miao Autonomous Prefecture</v>
      </c>
      <c r="E3366" s="1" t="s">
        <v>3085</v>
      </c>
      <c r="F3366" s="1" t="str">
        <f>IFERROR(__xludf.DUMMYFUNCTION("GOOGLETRANSLATE(E3366, ""zh-CN"", ""en"")"),"Badong County")</f>
        <v>Badong County</v>
      </c>
      <c r="G3366" s="1">
        <v>4.22823E11</v>
      </c>
    </row>
    <row r="3367">
      <c r="A3367" s="1" t="s">
        <v>2976</v>
      </c>
      <c r="B3367" s="1" t="str">
        <f>IFERROR(__xludf.DUMMYFUNCTION("GOOGLETRANSLATE(A3293, ""zh-CN"", ""en"")"),"Hubei Province")</f>
        <v>Hubei Province</v>
      </c>
      <c r="C3367" s="1" t="s">
        <v>2989</v>
      </c>
      <c r="D3367" s="1" t="str">
        <f>IFERROR(__xludf.DUMMYFUNCTION("GOOGLETRANSLATE(C3367, ""zh-CN"", ""en"")"),"Enshi Tu Family Miao Autonomous Prefecture")</f>
        <v>Enshi Tu Family Miao Autonomous Prefecture</v>
      </c>
      <c r="E3367" s="1" t="s">
        <v>3086</v>
      </c>
      <c r="F3367" s="1" t="str">
        <f>IFERROR(__xludf.DUMMYFUNCTION("GOOGLETRANSLATE(E3367, ""zh-CN"", ""en"")"),"Xuan En County")</f>
        <v>Xuan En County</v>
      </c>
      <c r="G3367" s="1">
        <v>4.22825E11</v>
      </c>
    </row>
    <row r="3368">
      <c r="A3368" s="1" t="s">
        <v>2976</v>
      </c>
      <c r="B3368" s="1" t="str">
        <f>IFERROR(__xludf.DUMMYFUNCTION("GOOGLETRANSLATE(A3294, ""zh-CN"", ""en"")"),"Hubei Province")</f>
        <v>Hubei Province</v>
      </c>
      <c r="C3368" s="1" t="s">
        <v>2989</v>
      </c>
      <c r="D3368" s="1" t="str">
        <f>IFERROR(__xludf.DUMMYFUNCTION("GOOGLETRANSLATE(C3368, ""zh-CN"", ""en"")"),"Enshi Tu Family Miao Autonomous Prefecture")</f>
        <v>Enshi Tu Family Miao Autonomous Prefecture</v>
      </c>
      <c r="E3368" s="1" t="s">
        <v>3087</v>
      </c>
      <c r="F3368" s="1" t="str">
        <f>IFERROR(__xludf.DUMMYFUNCTION("GOOGLETRANSLATE(E3368, ""zh-CN"", ""en"")"),"Xianfeng County")</f>
        <v>Xianfeng County</v>
      </c>
      <c r="G3368" s="1">
        <v>4.22826E11</v>
      </c>
    </row>
    <row r="3369">
      <c r="A3369" s="1" t="s">
        <v>2976</v>
      </c>
      <c r="B3369" s="1" t="str">
        <f>IFERROR(__xludf.DUMMYFUNCTION("GOOGLETRANSLATE(A3295, ""zh-CN"", ""en"")"),"Hubei Province")</f>
        <v>Hubei Province</v>
      </c>
      <c r="C3369" s="1" t="s">
        <v>2989</v>
      </c>
      <c r="D3369" s="1" t="str">
        <f>IFERROR(__xludf.DUMMYFUNCTION("GOOGLETRANSLATE(C3369, ""zh-CN"", ""en"")"),"Enshi Tu Family Miao Autonomous Prefecture")</f>
        <v>Enshi Tu Family Miao Autonomous Prefecture</v>
      </c>
      <c r="E3369" s="1" t="s">
        <v>3088</v>
      </c>
      <c r="F3369" s="1" t="str">
        <f>IFERROR(__xludf.DUMMYFUNCTION("GOOGLETRANSLATE(E3369, ""zh-CN"", ""en"")"),"Laifeng County")</f>
        <v>Laifeng County</v>
      </c>
      <c r="G3369" s="1">
        <v>4.22827E11</v>
      </c>
    </row>
    <row r="3370">
      <c r="A3370" s="1" t="s">
        <v>2976</v>
      </c>
      <c r="B3370" s="1" t="str">
        <f>IFERROR(__xludf.DUMMYFUNCTION("GOOGLETRANSLATE(A3296, ""zh-CN"", ""en"")"),"Hubei Province")</f>
        <v>Hubei Province</v>
      </c>
      <c r="C3370" s="1" t="s">
        <v>2989</v>
      </c>
      <c r="D3370" s="1" t="str">
        <f>IFERROR(__xludf.DUMMYFUNCTION("GOOGLETRANSLATE(C3370, ""zh-CN"", ""en"")"),"Enshi Tu Family Miao Autonomous Prefecture")</f>
        <v>Enshi Tu Family Miao Autonomous Prefecture</v>
      </c>
      <c r="E3370" s="1" t="s">
        <v>3089</v>
      </c>
      <c r="F3370" s="1" t="str">
        <f>IFERROR(__xludf.DUMMYFUNCTION("GOOGLETRANSLATE(E3370, ""zh-CN"", ""en"")"),"Hefeng County")</f>
        <v>Hefeng County</v>
      </c>
      <c r="G3370" s="1">
        <v>4.22828E11</v>
      </c>
    </row>
    <row r="3371">
      <c r="A3371" s="1" t="s">
        <v>2976</v>
      </c>
      <c r="B3371" s="1" t="str">
        <f>IFERROR(__xludf.DUMMYFUNCTION("GOOGLETRANSLATE(A3297, ""zh-CN"", ""en"")"),"Hubei Province")</f>
        <v>Hubei Province</v>
      </c>
      <c r="C3371" s="1" t="s">
        <v>2125</v>
      </c>
      <c r="D3371" s="1" t="str">
        <f>IFERROR(__xludf.DUMMYFUNCTION("GOOGLETRANSLATE(C3371, ""zh-CN"", ""en"")"),"Provincial and county -level administrative divisions directly under the jurisdiction")</f>
        <v>Provincial and county -level administrative divisions directly under the jurisdiction</v>
      </c>
      <c r="E3371" s="1" t="s">
        <v>3090</v>
      </c>
      <c r="F3371" s="1" t="str">
        <f>IFERROR(__xludf.DUMMYFUNCTION("GOOGLETRANSLATE(E3371, ""zh-CN"", ""en"")"),"Xian Tao City")</f>
        <v>Xian Tao City</v>
      </c>
      <c r="G3371" s="1">
        <v>4.29004E11</v>
      </c>
    </row>
    <row r="3372">
      <c r="A3372" s="1" t="s">
        <v>2976</v>
      </c>
      <c r="B3372" s="1" t="str">
        <f>IFERROR(__xludf.DUMMYFUNCTION("GOOGLETRANSLATE(A3298, ""zh-CN"", ""en"")"),"Hubei Province")</f>
        <v>Hubei Province</v>
      </c>
      <c r="C3372" s="1" t="s">
        <v>2125</v>
      </c>
      <c r="D3372" s="1" t="str">
        <f>IFERROR(__xludf.DUMMYFUNCTION("GOOGLETRANSLATE(C3372, ""zh-CN"", ""en"")"),"Provincial and county -level administrative divisions directly under the jurisdiction")</f>
        <v>Provincial and county -level administrative divisions directly under the jurisdiction</v>
      </c>
      <c r="E3372" s="1" t="s">
        <v>3091</v>
      </c>
      <c r="F3372" s="1" t="str">
        <f>IFERROR(__xludf.DUMMYFUNCTION("GOOGLETRANSLATE(E3372, ""zh-CN"", ""en"")"),"Qianjiang City")</f>
        <v>Qianjiang City</v>
      </c>
      <c r="G3372" s="1">
        <v>4.29005E11</v>
      </c>
    </row>
    <row r="3373">
      <c r="A3373" s="1" t="s">
        <v>2976</v>
      </c>
      <c r="B3373" s="1" t="str">
        <f>IFERROR(__xludf.DUMMYFUNCTION("GOOGLETRANSLATE(A3299, ""zh-CN"", ""en"")"),"Hubei Province")</f>
        <v>Hubei Province</v>
      </c>
      <c r="C3373" s="1" t="s">
        <v>2125</v>
      </c>
      <c r="D3373" s="1" t="str">
        <f>IFERROR(__xludf.DUMMYFUNCTION("GOOGLETRANSLATE(C3373, ""zh-CN"", ""en"")"),"Provincial and county -level administrative divisions directly under the jurisdiction")</f>
        <v>Provincial and county -level administrative divisions directly under the jurisdiction</v>
      </c>
      <c r="E3373" s="1" t="s">
        <v>3092</v>
      </c>
      <c r="F3373" s="1" t="str">
        <f>IFERROR(__xludf.DUMMYFUNCTION("GOOGLETRANSLATE(E3373, ""zh-CN"", ""en"")"),"Tianmen")</f>
        <v>Tianmen</v>
      </c>
      <c r="G3373" s="1">
        <v>4.29006E11</v>
      </c>
    </row>
    <row r="3374">
      <c r="A3374" s="1" t="s">
        <v>2976</v>
      </c>
      <c r="B3374" s="1" t="str">
        <f>IFERROR(__xludf.DUMMYFUNCTION("GOOGLETRANSLATE(A3300, ""zh-CN"", ""en"")"),"Hubei Province")</f>
        <v>Hubei Province</v>
      </c>
      <c r="C3374" s="1" t="s">
        <v>2125</v>
      </c>
      <c r="D3374" s="1" t="str">
        <f>IFERROR(__xludf.DUMMYFUNCTION("GOOGLETRANSLATE(C3374, ""zh-CN"", ""en"")"),"Provincial and county -level administrative divisions directly under the jurisdiction")</f>
        <v>Provincial and county -level administrative divisions directly under the jurisdiction</v>
      </c>
      <c r="E3374" s="1" t="s">
        <v>3093</v>
      </c>
      <c r="F3374" s="1" t="str">
        <f>IFERROR(__xludf.DUMMYFUNCTION("GOOGLETRANSLATE(E3374, ""zh-CN"", ""en"")"),"Shennongjia Forest District")</f>
        <v>Shennongjia Forest District</v>
      </c>
      <c r="G3374" s="1">
        <v>4.29021E11</v>
      </c>
    </row>
    <row r="3375">
      <c r="A3375" s="1" t="s">
        <v>3094</v>
      </c>
      <c r="B3375" s="1" t="str">
        <f>IFERROR(__xludf.DUMMYFUNCTION("GOOGLETRANSLATE(A3301, ""zh-CN"", ""en"")"),"Hubei Province")</f>
        <v>Hubei Province</v>
      </c>
      <c r="C3375" s="1" t="s">
        <v>8</v>
      </c>
      <c r="D3375" s="1" t="str">
        <f>IFERROR(__xludf.DUMMYFUNCTION("GOOGLETRANSLATE(C3375, ""zh-CN"", ""en"")"),"Na")</f>
        <v>Na</v>
      </c>
      <c r="E3375" s="1" t="s">
        <v>8</v>
      </c>
      <c r="F3375" s="1" t="str">
        <f>IFERROR(__xludf.DUMMYFUNCTION("GOOGLETRANSLATE(E3375, ""zh-CN"", ""en"")"),"Na")</f>
        <v>Na</v>
      </c>
      <c r="G3375" s="1">
        <v>11.0</v>
      </c>
    </row>
    <row r="3376">
      <c r="A3376" s="1" t="s">
        <v>3094</v>
      </c>
      <c r="B3376" s="1" t="str">
        <f>IFERROR(__xludf.DUMMYFUNCTION("GOOGLETRANSLATE(A3302, ""zh-CN"", ""en"")"),"Hubei Province")</f>
        <v>Hubei Province</v>
      </c>
      <c r="C3376" s="1" t="s">
        <v>24</v>
      </c>
      <c r="D3376" s="1" t="str">
        <f>IFERROR(__xludf.DUMMYFUNCTION("GOOGLETRANSLATE(C3376, ""zh-CN"", ""en"")"),"City area")</f>
        <v>City area</v>
      </c>
      <c r="E3376" s="1" t="s">
        <v>8</v>
      </c>
      <c r="F3376" s="1" t="str">
        <f>IFERROR(__xludf.DUMMYFUNCTION("GOOGLETRANSLATE(E3376, ""zh-CN"", ""en"")"),"Na")</f>
        <v>Na</v>
      </c>
      <c r="G3376" s="1">
        <v>1.101E11</v>
      </c>
    </row>
    <row r="3377">
      <c r="A3377" s="1" t="s">
        <v>3094</v>
      </c>
      <c r="B3377" s="1" t="str">
        <f>IFERROR(__xludf.DUMMYFUNCTION("GOOGLETRANSLATE(A3303, ""zh-CN"", ""en"")"),"Hubei Province")</f>
        <v>Hubei Province</v>
      </c>
      <c r="C3377" s="1" t="s">
        <v>24</v>
      </c>
      <c r="D3377" s="1" t="str">
        <f>IFERROR(__xludf.DUMMYFUNCTION("GOOGLETRANSLATE(C3377, ""zh-CN"", ""en"")"),"City area")</f>
        <v>City area</v>
      </c>
      <c r="E3377" s="1" t="s">
        <v>3095</v>
      </c>
      <c r="F3377" s="1" t="str">
        <f>IFERROR(__xludf.DUMMYFUNCTION("GOOGLETRANSLATE(E3377, ""zh-CN"", ""en"")"),"Dongcheng Area")</f>
        <v>Dongcheng Area</v>
      </c>
      <c r="G3377" s="1">
        <v>1.10101E11</v>
      </c>
    </row>
    <row r="3378">
      <c r="A3378" s="1" t="s">
        <v>3094</v>
      </c>
      <c r="B3378" s="1" t="str">
        <f>IFERROR(__xludf.DUMMYFUNCTION("GOOGLETRANSLATE(A3304, ""zh-CN"", ""en"")"),"Hubei Province")</f>
        <v>Hubei Province</v>
      </c>
      <c r="C3378" s="1" t="s">
        <v>24</v>
      </c>
      <c r="D3378" s="1" t="str">
        <f>IFERROR(__xludf.DUMMYFUNCTION("GOOGLETRANSLATE(C3378, ""zh-CN"", ""en"")"),"City area")</f>
        <v>City area</v>
      </c>
      <c r="E3378" s="1" t="s">
        <v>3096</v>
      </c>
      <c r="F3378" s="1" t="str">
        <f>IFERROR(__xludf.DUMMYFUNCTION("GOOGLETRANSLATE(E3378, ""zh-CN"", ""en"")"),"Xicheng District")</f>
        <v>Xicheng District</v>
      </c>
      <c r="G3378" s="1">
        <v>1.10102E11</v>
      </c>
    </row>
    <row r="3379">
      <c r="A3379" s="1" t="s">
        <v>3094</v>
      </c>
      <c r="B3379" s="1" t="str">
        <f>IFERROR(__xludf.DUMMYFUNCTION("GOOGLETRANSLATE(A3305, ""zh-CN"", ""en"")"),"Hubei Province")</f>
        <v>Hubei Province</v>
      </c>
      <c r="C3379" s="1" t="s">
        <v>24</v>
      </c>
      <c r="D3379" s="1" t="str">
        <f>IFERROR(__xludf.DUMMYFUNCTION("GOOGLETRANSLATE(C3379, ""zh-CN"", ""en"")"),"City area")</f>
        <v>City area</v>
      </c>
      <c r="E3379" s="1" t="s">
        <v>2438</v>
      </c>
      <c r="F3379" s="1" t="str">
        <f>IFERROR(__xludf.DUMMYFUNCTION("GOOGLETRANSLATE(E3379, ""zh-CN"", ""en"")"),"Chaoyang District")</f>
        <v>Chaoyang District</v>
      </c>
      <c r="G3379" s="1">
        <v>1.10105E11</v>
      </c>
    </row>
    <row r="3380">
      <c r="A3380" s="1" t="s">
        <v>3094</v>
      </c>
      <c r="B3380" s="1" t="str">
        <f>IFERROR(__xludf.DUMMYFUNCTION("GOOGLETRANSLATE(A3306, ""zh-CN"", ""en"")"),"Hubei Province")</f>
        <v>Hubei Province</v>
      </c>
      <c r="C3380" s="1" t="s">
        <v>24</v>
      </c>
      <c r="D3380" s="1" t="str">
        <f>IFERROR(__xludf.DUMMYFUNCTION("GOOGLETRANSLATE(C3380, ""zh-CN"", ""en"")"),"City area")</f>
        <v>City area</v>
      </c>
      <c r="E3380" s="1" t="s">
        <v>3097</v>
      </c>
      <c r="F3380" s="1" t="str">
        <f>IFERROR(__xludf.DUMMYFUNCTION("GOOGLETRANSLATE(E3380, ""zh-CN"", ""en"")"),"Fengtai District")</f>
        <v>Fengtai District</v>
      </c>
      <c r="G3380" s="1">
        <v>1.10106E11</v>
      </c>
    </row>
    <row r="3381">
      <c r="A3381" s="1" t="s">
        <v>3094</v>
      </c>
      <c r="B3381" s="1" t="str">
        <f>IFERROR(__xludf.DUMMYFUNCTION("GOOGLETRANSLATE(A3307, ""zh-CN"", ""en"")"),"Hubei Province")</f>
        <v>Hubei Province</v>
      </c>
      <c r="C3381" s="1" t="s">
        <v>24</v>
      </c>
      <c r="D3381" s="1" t="str">
        <f>IFERROR(__xludf.DUMMYFUNCTION("GOOGLETRANSLATE(C3381, ""zh-CN"", ""en"")"),"City area")</f>
        <v>City area</v>
      </c>
      <c r="E3381" s="1" t="s">
        <v>3098</v>
      </c>
      <c r="F3381" s="1" t="str">
        <f>IFERROR(__xludf.DUMMYFUNCTION("GOOGLETRANSLATE(E3381, ""zh-CN"", ""en"")"),"Shijingshan District")</f>
        <v>Shijingshan District</v>
      </c>
      <c r="G3381" s="1">
        <v>1.10107E11</v>
      </c>
    </row>
    <row r="3382">
      <c r="A3382" s="1" t="s">
        <v>3094</v>
      </c>
      <c r="B3382" s="1" t="str">
        <f>IFERROR(__xludf.DUMMYFUNCTION("GOOGLETRANSLATE(A3308, ""zh-CN"", ""en"")"),"Hubei Province")</f>
        <v>Hubei Province</v>
      </c>
      <c r="C3382" s="1" t="s">
        <v>24</v>
      </c>
      <c r="D3382" s="1" t="str">
        <f>IFERROR(__xludf.DUMMYFUNCTION("GOOGLETRANSLATE(C3382, ""zh-CN"", ""en"")"),"City area")</f>
        <v>City area</v>
      </c>
      <c r="E3382" s="1" t="s">
        <v>3099</v>
      </c>
      <c r="F3382" s="1" t="str">
        <f>IFERROR(__xludf.DUMMYFUNCTION("GOOGLETRANSLATE(E3382, ""zh-CN"", ""en"")"),"Haidian District")</f>
        <v>Haidian District</v>
      </c>
      <c r="G3382" s="1">
        <v>1.10108E11</v>
      </c>
    </row>
    <row r="3383">
      <c r="A3383" s="1" t="s">
        <v>3094</v>
      </c>
      <c r="B3383" s="1" t="str">
        <f>IFERROR(__xludf.DUMMYFUNCTION("GOOGLETRANSLATE(A3309, ""zh-CN"", ""en"")"),"Hubei Province")</f>
        <v>Hubei Province</v>
      </c>
      <c r="C3383" s="1" t="s">
        <v>24</v>
      </c>
      <c r="D3383" s="1" t="str">
        <f>IFERROR(__xludf.DUMMYFUNCTION("GOOGLETRANSLATE(C3383, ""zh-CN"", ""en"")"),"City area")</f>
        <v>City area</v>
      </c>
      <c r="E3383" s="1" t="s">
        <v>3100</v>
      </c>
      <c r="F3383" s="1" t="str">
        <f>IFERROR(__xludf.DUMMYFUNCTION("GOOGLETRANSLATE(E3383, ""zh-CN"", ""en"")"),"Mentougou area")</f>
        <v>Mentougou area</v>
      </c>
      <c r="G3383" s="1">
        <v>1.10109E11</v>
      </c>
    </row>
    <row r="3384">
      <c r="A3384" s="1" t="s">
        <v>3094</v>
      </c>
      <c r="B3384" s="1" t="str">
        <f>IFERROR(__xludf.DUMMYFUNCTION("GOOGLETRANSLATE(A3310, ""zh-CN"", ""en"")"),"Hubei Province")</f>
        <v>Hubei Province</v>
      </c>
      <c r="C3384" s="1" t="s">
        <v>24</v>
      </c>
      <c r="D3384" s="1" t="str">
        <f>IFERROR(__xludf.DUMMYFUNCTION("GOOGLETRANSLATE(C3384, ""zh-CN"", ""en"")"),"City area")</f>
        <v>City area</v>
      </c>
      <c r="E3384" s="1" t="s">
        <v>3101</v>
      </c>
      <c r="F3384" s="1" t="str">
        <f>IFERROR(__xludf.DUMMYFUNCTION("GOOGLETRANSLATE(E3384, ""zh-CN"", ""en"")"),"Fangshan District")</f>
        <v>Fangshan District</v>
      </c>
      <c r="G3384" s="1">
        <v>1.10111E11</v>
      </c>
    </row>
    <row r="3385">
      <c r="A3385" s="1" t="s">
        <v>3094</v>
      </c>
      <c r="B3385" s="1" t="str">
        <f>IFERROR(__xludf.DUMMYFUNCTION("GOOGLETRANSLATE(A3311, ""zh-CN"", ""en"")"),"Hubei Province")</f>
        <v>Hubei Province</v>
      </c>
      <c r="C3385" s="1" t="s">
        <v>24</v>
      </c>
      <c r="D3385" s="1" t="str">
        <f>IFERROR(__xludf.DUMMYFUNCTION("GOOGLETRANSLATE(C3385, ""zh-CN"", ""en"")"),"City area")</f>
        <v>City area</v>
      </c>
      <c r="E3385" s="1" t="s">
        <v>1751</v>
      </c>
      <c r="F3385" s="1" t="str">
        <f>IFERROR(__xludf.DUMMYFUNCTION("GOOGLETRANSLATE(E3385, ""zh-CN"", ""en"")"),"Tongzhou District")</f>
        <v>Tongzhou District</v>
      </c>
      <c r="G3385" s="1">
        <v>1.10112E11</v>
      </c>
    </row>
    <row r="3386">
      <c r="A3386" s="1" t="s">
        <v>3094</v>
      </c>
      <c r="B3386" s="1" t="str">
        <f>IFERROR(__xludf.DUMMYFUNCTION("GOOGLETRANSLATE(A3312, ""zh-CN"", ""en"")"),"Hubei Province")</f>
        <v>Hubei Province</v>
      </c>
      <c r="C3386" s="1" t="s">
        <v>24</v>
      </c>
      <c r="D3386" s="1" t="str">
        <f>IFERROR(__xludf.DUMMYFUNCTION("GOOGLETRANSLATE(C3386, ""zh-CN"", ""en"")"),"City area")</f>
        <v>City area</v>
      </c>
      <c r="E3386" s="1" t="s">
        <v>3102</v>
      </c>
      <c r="F3386" s="1" t="str">
        <f>IFERROR(__xludf.DUMMYFUNCTION("GOOGLETRANSLATE(E3386, ""zh-CN"", ""en"")"),"Shunyi District")</f>
        <v>Shunyi District</v>
      </c>
      <c r="G3386" s="1">
        <v>1.10113E11</v>
      </c>
    </row>
    <row r="3387">
      <c r="A3387" s="1" t="s">
        <v>3094</v>
      </c>
      <c r="B3387" s="1" t="str">
        <f>IFERROR(__xludf.DUMMYFUNCTION("GOOGLETRANSLATE(A3313, ""zh-CN"", ""en"")"),"Hubei Province")</f>
        <v>Hubei Province</v>
      </c>
      <c r="C3387" s="1" t="s">
        <v>24</v>
      </c>
      <c r="D3387" s="1" t="str">
        <f>IFERROR(__xludf.DUMMYFUNCTION("GOOGLETRANSLATE(C3387, ""zh-CN"", ""en"")"),"City area")</f>
        <v>City area</v>
      </c>
      <c r="E3387" s="1" t="s">
        <v>3103</v>
      </c>
      <c r="F3387" s="1" t="str">
        <f>IFERROR(__xludf.DUMMYFUNCTION("GOOGLETRANSLATE(E3387, ""zh-CN"", ""en"")"),"Changping District")</f>
        <v>Changping District</v>
      </c>
      <c r="G3387" s="1">
        <v>1.10114E11</v>
      </c>
    </row>
    <row r="3388">
      <c r="A3388" s="1" t="s">
        <v>3094</v>
      </c>
      <c r="B3388" s="1" t="str">
        <f>IFERROR(__xludf.DUMMYFUNCTION("GOOGLETRANSLATE(A3314, ""zh-CN"", ""en"")"),"Hubei Province")</f>
        <v>Hubei Province</v>
      </c>
      <c r="C3388" s="1" t="s">
        <v>24</v>
      </c>
      <c r="D3388" s="1" t="str">
        <f>IFERROR(__xludf.DUMMYFUNCTION("GOOGLETRANSLATE(C3388, ""zh-CN"", ""en"")"),"City area")</f>
        <v>City area</v>
      </c>
      <c r="E3388" s="1" t="s">
        <v>3104</v>
      </c>
      <c r="F3388" s="1" t="str">
        <f>IFERROR(__xludf.DUMMYFUNCTION("GOOGLETRANSLATE(E3388, ""zh-CN"", ""en"")"),"Daxing District")</f>
        <v>Daxing District</v>
      </c>
      <c r="G3388" s="1">
        <v>1.10115E11</v>
      </c>
    </row>
    <row r="3389">
      <c r="A3389" s="1" t="s">
        <v>3094</v>
      </c>
      <c r="B3389" s="1" t="str">
        <f>IFERROR(__xludf.DUMMYFUNCTION("GOOGLETRANSLATE(A3315, ""zh-CN"", ""en"")"),"Hubei Province")</f>
        <v>Hubei Province</v>
      </c>
      <c r="C3389" s="1" t="s">
        <v>24</v>
      </c>
      <c r="D3389" s="1" t="str">
        <f>IFERROR(__xludf.DUMMYFUNCTION("GOOGLETRANSLATE(C3389, ""zh-CN"", ""en"")"),"City area")</f>
        <v>City area</v>
      </c>
      <c r="E3389" s="1" t="s">
        <v>3105</v>
      </c>
      <c r="F3389" s="1" t="str">
        <f>IFERROR(__xludf.DUMMYFUNCTION("GOOGLETRANSLATE(E3389, ""zh-CN"", ""en"")"),"Huairou District")</f>
        <v>Huairou District</v>
      </c>
      <c r="G3389" s="1">
        <v>1.10116E11</v>
      </c>
    </row>
    <row r="3390">
      <c r="A3390" s="1" t="s">
        <v>3094</v>
      </c>
      <c r="B3390" s="1" t="str">
        <f>IFERROR(__xludf.DUMMYFUNCTION("GOOGLETRANSLATE(A3316, ""zh-CN"", ""en"")"),"Hubei Province")</f>
        <v>Hubei Province</v>
      </c>
      <c r="C3390" s="1" t="s">
        <v>24</v>
      </c>
      <c r="D3390" s="1" t="str">
        <f>IFERROR(__xludf.DUMMYFUNCTION("GOOGLETRANSLATE(C3390, ""zh-CN"", ""en"")"),"City area")</f>
        <v>City area</v>
      </c>
      <c r="E3390" s="1" t="s">
        <v>3106</v>
      </c>
      <c r="F3390" s="1" t="str">
        <f>IFERROR(__xludf.DUMMYFUNCTION("GOOGLETRANSLATE(E3390, ""zh-CN"", ""en"")"),"Pinggu District")</f>
        <v>Pinggu District</v>
      </c>
      <c r="G3390" s="1">
        <v>1.10117E11</v>
      </c>
    </row>
    <row r="3391">
      <c r="A3391" s="1" t="s">
        <v>3094</v>
      </c>
      <c r="B3391" s="1" t="str">
        <f>IFERROR(__xludf.DUMMYFUNCTION("GOOGLETRANSLATE(A3317, ""zh-CN"", ""en"")"),"Hubei Province")</f>
        <v>Hubei Province</v>
      </c>
      <c r="C3391" s="1" t="s">
        <v>24</v>
      </c>
      <c r="D3391" s="1" t="str">
        <f>IFERROR(__xludf.DUMMYFUNCTION("GOOGLETRANSLATE(C3391, ""zh-CN"", ""en"")"),"City area")</f>
        <v>City area</v>
      </c>
      <c r="E3391" s="1" t="s">
        <v>3107</v>
      </c>
      <c r="F3391" s="1" t="str">
        <f>IFERROR(__xludf.DUMMYFUNCTION("GOOGLETRANSLATE(E3391, ""zh-CN"", ""en"")"),"Miyun District")</f>
        <v>Miyun District</v>
      </c>
      <c r="G3391" s="1">
        <v>1.10118E11</v>
      </c>
    </row>
    <row r="3392">
      <c r="A3392" s="1" t="s">
        <v>3094</v>
      </c>
      <c r="B3392" s="1" t="str">
        <f>IFERROR(__xludf.DUMMYFUNCTION("GOOGLETRANSLATE(A3318, ""zh-CN"", ""en"")"),"Hubei Province")</f>
        <v>Hubei Province</v>
      </c>
      <c r="C3392" s="1" t="s">
        <v>24</v>
      </c>
      <c r="D3392" s="1" t="str">
        <f>IFERROR(__xludf.DUMMYFUNCTION("GOOGLETRANSLATE(C3392, ""zh-CN"", ""en"")"),"City area")</f>
        <v>City area</v>
      </c>
      <c r="E3392" s="1" t="s">
        <v>3108</v>
      </c>
      <c r="F3392" s="1" t="str">
        <f>IFERROR(__xludf.DUMMYFUNCTION("GOOGLETRANSLATE(E3392, ""zh-CN"", ""en"")"),"Yanqing District")</f>
        <v>Yanqing District</v>
      </c>
      <c r="G3392" s="1">
        <v>1.10119E11</v>
      </c>
    </row>
    <row r="3393">
      <c r="A3393" s="1" t="s">
        <v>3109</v>
      </c>
      <c r="B3393" s="1" t="str">
        <f>IFERROR(__xludf.DUMMYFUNCTION("GOOGLETRANSLATE(A3319, ""zh-CN"", ""en"")"),"Hubei Province")</f>
        <v>Hubei Province</v>
      </c>
      <c r="C3393" s="1" t="s">
        <v>8</v>
      </c>
      <c r="D3393" s="1" t="str">
        <f>IFERROR(__xludf.DUMMYFUNCTION("GOOGLETRANSLATE(C3393, ""zh-CN"", ""en"")"),"Na")</f>
        <v>Na</v>
      </c>
      <c r="E3393" s="1" t="s">
        <v>8</v>
      </c>
      <c r="F3393" s="1" t="str">
        <f>IFERROR(__xludf.DUMMYFUNCTION("GOOGLETRANSLATE(E3393, ""zh-CN"", ""en"")"),"Na")</f>
        <v>Na</v>
      </c>
      <c r="G3393" s="1">
        <v>21.0</v>
      </c>
    </row>
    <row r="3394">
      <c r="A3394" s="1" t="s">
        <v>3109</v>
      </c>
      <c r="B3394" s="1" t="str">
        <f>IFERROR(__xludf.DUMMYFUNCTION("GOOGLETRANSLATE(A3320, ""zh-CN"", ""en"")"),"Hubei Province")</f>
        <v>Hubei Province</v>
      </c>
      <c r="C3394" s="1" t="s">
        <v>3110</v>
      </c>
      <c r="D3394" s="1" t="str">
        <f>IFERROR(__xludf.DUMMYFUNCTION("GOOGLETRANSLATE(C3394, ""zh-CN"", ""en"")"),"Shenyang city")</f>
        <v>Shenyang city</v>
      </c>
      <c r="E3394" s="1" t="s">
        <v>8</v>
      </c>
      <c r="F3394" s="1" t="str">
        <f>IFERROR(__xludf.DUMMYFUNCTION("GOOGLETRANSLATE(E3394, ""zh-CN"", ""en"")"),"Na")</f>
        <v>Na</v>
      </c>
      <c r="G3394" s="1">
        <v>2.101E11</v>
      </c>
    </row>
    <row r="3395">
      <c r="A3395" s="1" t="s">
        <v>3109</v>
      </c>
      <c r="B3395" s="1" t="str">
        <f>IFERROR(__xludf.DUMMYFUNCTION("GOOGLETRANSLATE(A3321, ""zh-CN"", ""en"")"),"Hubei Province")</f>
        <v>Hubei Province</v>
      </c>
      <c r="C3395" s="1" t="s">
        <v>3111</v>
      </c>
      <c r="D3395" s="1" t="str">
        <f>IFERROR(__xludf.DUMMYFUNCTION("GOOGLETRANSLATE(C3395, ""zh-CN"", ""en"")"),"Dalian")</f>
        <v>Dalian</v>
      </c>
      <c r="E3395" s="1" t="s">
        <v>8</v>
      </c>
      <c r="F3395" s="1" t="str">
        <f>IFERROR(__xludf.DUMMYFUNCTION("GOOGLETRANSLATE(E3395, ""zh-CN"", ""en"")"),"Na")</f>
        <v>Na</v>
      </c>
      <c r="G3395" s="1">
        <v>2.102E11</v>
      </c>
    </row>
    <row r="3396">
      <c r="A3396" s="1" t="s">
        <v>3109</v>
      </c>
      <c r="B3396" s="1" t="str">
        <f>IFERROR(__xludf.DUMMYFUNCTION("GOOGLETRANSLATE(A3322, ""zh-CN"", ""en"")"),"Hubei Province")</f>
        <v>Hubei Province</v>
      </c>
      <c r="C3396" s="1" t="s">
        <v>3112</v>
      </c>
      <c r="D3396" s="1" t="str">
        <f>IFERROR(__xludf.DUMMYFUNCTION("GOOGLETRANSLATE(C3396, ""zh-CN"", ""en"")"),"Anshan City")</f>
        <v>Anshan City</v>
      </c>
      <c r="E3396" s="1" t="s">
        <v>8</v>
      </c>
      <c r="F3396" s="1" t="str">
        <f>IFERROR(__xludf.DUMMYFUNCTION("GOOGLETRANSLATE(E3396, ""zh-CN"", ""en"")"),"Na")</f>
        <v>Na</v>
      </c>
      <c r="G3396" s="1">
        <v>2.103E11</v>
      </c>
    </row>
    <row r="3397">
      <c r="A3397" s="1" t="s">
        <v>3109</v>
      </c>
      <c r="B3397" s="1" t="str">
        <f>IFERROR(__xludf.DUMMYFUNCTION("GOOGLETRANSLATE(A3323, ""zh-CN"", ""en"")"),"Hubei Province")</f>
        <v>Hubei Province</v>
      </c>
      <c r="C3397" s="1" t="s">
        <v>3113</v>
      </c>
      <c r="D3397" s="1" t="str">
        <f>IFERROR(__xludf.DUMMYFUNCTION("GOOGLETRANSLATE(C3397, ""zh-CN"", ""en"")"),"Fushun City")</f>
        <v>Fushun City</v>
      </c>
      <c r="E3397" s="1" t="s">
        <v>8</v>
      </c>
      <c r="F3397" s="1" t="str">
        <f>IFERROR(__xludf.DUMMYFUNCTION("GOOGLETRANSLATE(E3397, ""zh-CN"", ""en"")"),"Na")</f>
        <v>Na</v>
      </c>
      <c r="G3397" s="1">
        <v>2.104E11</v>
      </c>
    </row>
    <row r="3398">
      <c r="A3398" s="1" t="s">
        <v>3109</v>
      </c>
      <c r="B3398" s="1" t="str">
        <f>IFERROR(__xludf.DUMMYFUNCTION("GOOGLETRANSLATE(A3324, ""zh-CN"", ""en"")"),"Hubei Province")</f>
        <v>Hubei Province</v>
      </c>
      <c r="C3398" s="1" t="s">
        <v>3114</v>
      </c>
      <c r="D3398" s="1" t="str">
        <f>IFERROR(__xludf.DUMMYFUNCTION("GOOGLETRANSLATE(C3398, ""zh-CN"", ""en"")"),"Benxi City")</f>
        <v>Benxi City</v>
      </c>
      <c r="E3398" s="1" t="s">
        <v>8</v>
      </c>
      <c r="F3398" s="1" t="str">
        <f>IFERROR(__xludf.DUMMYFUNCTION("GOOGLETRANSLATE(E3398, ""zh-CN"", ""en"")"),"Na")</f>
        <v>Na</v>
      </c>
      <c r="G3398" s="1">
        <v>2.105E11</v>
      </c>
    </row>
    <row r="3399">
      <c r="A3399" s="1" t="s">
        <v>3109</v>
      </c>
      <c r="B3399" s="1" t="str">
        <f>IFERROR(__xludf.DUMMYFUNCTION("GOOGLETRANSLATE(A3325, ""zh-CN"", ""en"")"),"Hubei Province")</f>
        <v>Hubei Province</v>
      </c>
      <c r="C3399" s="1" t="s">
        <v>3115</v>
      </c>
      <c r="D3399" s="1" t="str">
        <f>IFERROR(__xludf.DUMMYFUNCTION("GOOGLETRANSLATE(C3399, ""zh-CN"", ""en"")"),"Dandong City")</f>
        <v>Dandong City</v>
      </c>
      <c r="E3399" s="1" t="s">
        <v>8</v>
      </c>
      <c r="F3399" s="1" t="str">
        <f>IFERROR(__xludf.DUMMYFUNCTION("GOOGLETRANSLATE(E3399, ""zh-CN"", ""en"")"),"Na")</f>
        <v>Na</v>
      </c>
      <c r="G3399" s="1">
        <v>2.106E11</v>
      </c>
    </row>
    <row r="3400">
      <c r="A3400" s="1" t="s">
        <v>3109</v>
      </c>
      <c r="B3400" s="1" t="str">
        <f>IFERROR(__xludf.DUMMYFUNCTION("GOOGLETRANSLATE(A3326, ""zh-CN"", ""en"")"),"Hubei Province")</f>
        <v>Hubei Province</v>
      </c>
      <c r="C3400" s="1" t="s">
        <v>3116</v>
      </c>
      <c r="D3400" s="1" t="str">
        <f>IFERROR(__xludf.DUMMYFUNCTION("GOOGLETRANSLATE(C3400, ""zh-CN"", ""en"")"),"Jinzhou")</f>
        <v>Jinzhou</v>
      </c>
      <c r="E3400" s="1" t="s">
        <v>8</v>
      </c>
      <c r="F3400" s="1" t="str">
        <f>IFERROR(__xludf.DUMMYFUNCTION("GOOGLETRANSLATE(E3400, ""zh-CN"", ""en"")"),"Na")</f>
        <v>Na</v>
      </c>
      <c r="G3400" s="1">
        <v>2.107E11</v>
      </c>
    </row>
    <row r="3401">
      <c r="A3401" s="1" t="s">
        <v>3109</v>
      </c>
      <c r="B3401" s="1" t="str">
        <f>IFERROR(__xludf.DUMMYFUNCTION("GOOGLETRANSLATE(A3327, ""zh-CN"", ""en"")"),"Hubei Province")</f>
        <v>Hubei Province</v>
      </c>
      <c r="C3401" s="1" t="s">
        <v>3117</v>
      </c>
      <c r="D3401" s="1" t="str">
        <f>IFERROR(__xludf.DUMMYFUNCTION("GOOGLETRANSLATE(C3401, ""zh-CN"", ""en"")"),"Yingkou City")</f>
        <v>Yingkou City</v>
      </c>
      <c r="E3401" s="1" t="s">
        <v>8</v>
      </c>
      <c r="F3401" s="1" t="str">
        <f>IFERROR(__xludf.DUMMYFUNCTION("GOOGLETRANSLATE(E3401, ""zh-CN"", ""en"")"),"Na")</f>
        <v>Na</v>
      </c>
      <c r="G3401" s="1">
        <v>2.108E11</v>
      </c>
    </row>
    <row r="3402">
      <c r="A3402" s="1" t="s">
        <v>3109</v>
      </c>
      <c r="B3402" s="1" t="str">
        <f>IFERROR(__xludf.DUMMYFUNCTION("GOOGLETRANSLATE(A3328, ""zh-CN"", ""en"")"),"Hubei Province")</f>
        <v>Hubei Province</v>
      </c>
      <c r="C3402" s="1" t="s">
        <v>3118</v>
      </c>
      <c r="D3402" s="1" t="str">
        <f>IFERROR(__xludf.DUMMYFUNCTION("GOOGLETRANSLATE(C3402, ""zh-CN"", ""en"")"),"Fuxin City")</f>
        <v>Fuxin City</v>
      </c>
      <c r="E3402" s="1" t="s">
        <v>8</v>
      </c>
      <c r="F3402" s="1" t="str">
        <f>IFERROR(__xludf.DUMMYFUNCTION("GOOGLETRANSLATE(E3402, ""zh-CN"", ""en"")"),"Na")</f>
        <v>Na</v>
      </c>
      <c r="G3402" s="1">
        <v>2.109E11</v>
      </c>
    </row>
    <row r="3403">
      <c r="A3403" s="1" t="s">
        <v>3109</v>
      </c>
      <c r="B3403" s="1" t="str">
        <f>IFERROR(__xludf.DUMMYFUNCTION("GOOGLETRANSLATE(A3329, ""zh-CN"", ""en"")"),"Hubei Province")</f>
        <v>Hubei Province</v>
      </c>
      <c r="C3403" s="1" t="s">
        <v>3119</v>
      </c>
      <c r="D3403" s="1" t="str">
        <f>IFERROR(__xludf.DUMMYFUNCTION("GOOGLETRANSLATE(C3403, ""zh-CN"", ""en"")"),"Liaoyang City")</f>
        <v>Liaoyang City</v>
      </c>
      <c r="E3403" s="1" t="s">
        <v>8</v>
      </c>
      <c r="F3403" s="1" t="str">
        <f>IFERROR(__xludf.DUMMYFUNCTION("GOOGLETRANSLATE(E3403, ""zh-CN"", ""en"")"),"Na")</f>
        <v>Na</v>
      </c>
      <c r="G3403" s="1">
        <v>2.11E11</v>
      </c>
    </row>
    <row r="3404">
      <c r="A3404" s="1" t="s">
        <v>3109</v>
      </c>
      <c r="B3404" s="1" t="str">
        <f>IFERROR(__xludf.DUMMYFUNCTION("GOOGLETRANSLATE(A3330, ""zh-CN"", ""en"")"),"Hubei Province")</f>
        <v>Hubei Province</v>
      </c>
      <c r="C3404" s="1" t="s">
        <v>3120</v>
      </c>
      <c r="D3404" s="1" t="str">
        <f>IFERROR(__xludf.DUMMYFUNCTION("GOOGLETRANSLATE(C3404, ""zh-CN"", ""en"")"),"Panjin City")</f>
        <v>Panjin City</v>
      </c>
      <c r="E3404" s="1" t="s">
        <v>8</v>
      </c>
      <c r="F3404" s="1" t="str">
        <f>IFERROR(__xludf.DUMMYFUNCTION("GOOGLETRANSLATE(E3404, ""zh-CN"", ""en"")"),"Na")</f>
        <v>Na</v>
      </c>
      <c r="G3404" s="1">
        <v>2.111E11</v>
      </c>
    </row>
    <row r="3405">
      <c r="A3405" s="1" t="s">
        <v>3109</v>
      </c>
      <c r="B3405" s="1" t="str">
        <f>IFERROR(__xludf.DUMMYFUNCTION("GOOGLETRANSLATE(A3331, ""zh-CN"", ""en"")"),"Hubei Province")</f>
        <v>Hubei Province</v>
      </c>
      <c r="C3405" s="1" t="s">
        <v>3121</v>
      </c>
      <c r="D3405" s="1" t="str">
        <f>IFERROR(__xludf.DUMMYFUNCTION("GOOGLETRANSLATE(C3405, ""zh-CN"", ""en"")"),"Tieling City")</f>
        <v>Tieling City</v>
      </c>
      <c r="E3405" s="1" t="s">
        <v>8</v>
      </c>
      <c r="F3405" s="1" t="str">
        <f>IFERROR(__xludf.DUMMYFUNCTION("GOOGLETRANSLATE(E3405, ""zh-CN"", ""en"")"),"Na")</f>
        <v>Na</v>
      </c>
      <c r="G3405" s="1">
        <v>2.112E11</v>
      </c>
    </row>
    <row r="3406">
      <c r="A3406" s="1" t="s">
        <v>3109</v>
      </c>
      <c r="B3406" s="1" t="str">
        <f>IFERROR(__xludf.DUMMYFUNCTION("GOOGLETRANSLATE(A3332, ""zh-CN"", ""en"")"),"Hubei Province")</f>
        <v>Hubei Province</v>
      </c>
      <c r="C3406" s="1" t="s">
        <v>3122</v>
      </c>
      <c r="D3406" s="1" t="str">
        <f>IFERROR(__xludf.DUMMYFUNCTION("GOOGLETRANSLATE(C3406, ""zh-CN"", ""en"")"),"Chaoyang City")</f>
        <v>Chaoyang City</v>
      </c>
      <c r="E3406" s="1" t="s">
        <v>8</v>
      </c>
      <c r="F3406" s="1" t="str">
        <f>IFERROR(__xludf.DUMMYFUNCTION("GOOGLETRANSLATE(E3406, ""zh-CN"", ""en"")"),"Na")</f>
        <v>Na</v>
      </c>
      <c r="G3406" s="1">
        <v>2.113E11</v>
      </c>
    </row>
    <row r="3407">
      <c r="A3407" s="1" t="s">
        <v>3109</v>
      </c>
      <c r="B3407" s="1" t="str">
        <f>IFERROR(__xludf.DUMMYFUNCTION("GOOGLETRANSLATE(A3333, ""zh-CN"", ""en"")"),"Hubei Province")</f>
        <v>Hubei Province</v>
      </c>
      <c r="C3407" s="1" t="s">
        <v>3123</v>
      </c>
      <c r="D3407" s="1" t="str">
        <f>IFERROR(__xludf.DUMMYFUNCTION("GOOGLETRANSLATE(C3407, ""zh-CN"", ""en"")"),"Huludao City")</f>
        <v>Huludao City</v>
      </c>
      <c r="E3407" s="1" t="s">
        <v>8</v>
      </c>
      <c r="F3407" s="1" t="str">
        <f>IFERROR(__xludf.DUMMYFUNCTION("GOOGLETRANSLATE(E3407, ""zh-CN"", ""en"")"),"Na")</f>
        <v>Na</v>
      </c>
      <c r="G3407" s="1">
        <v>2.114E11</v>
      </c>
    </row>
    <row r="3408">
      <c r="A3408" s="1" t="s">
        <v>3109</v>
      </c>
      <c r="B3408" s="1" t="str">
        <f>IFERROR(__xludf.DUMMYFUNCTION("GOOGLETRANSLATE(A3334, ""zh-CN"", ""en"")"),"Hubei Province")</f>
        <v>Hubei Province</v>
      </c>
      <c r="C3408" s="1" t="s">
        <v>3110</v>
      </c>
      <c r="D3408" s="1" t="str">
        <f>IFERROR(__xludf.DUMMYFUNCTION("GOOGLETRANSLATE(C3408, ""zh-CN"", ""en"")"),"Shenyang city")</f>
        <v>Shenyang city</v>
      </c>
      <c r="E3408" s="1" t="s">
        <v>24</v>
      </c>
      <c r="F3408" s="1" t="str">
        <f>IFERROR(__xludf.DUMMYFUNCTION("GOOGLETRANSLATE(E3408, ""zh-CN"", ""en"")"),"City area")</f>
        <v>City area</v>
      </c>
      <c r="G3408" s="1">
        <v>2.10101E11</v>
      </c>
    </row>
    <row r="3409">
      <c r="A3409" s="1" t="s">
        <v>3109</v>
      </c>
      <c r="B3409" s="1" t="str">
        <f>IFERROR(__xludf.DUMMYFUNCTION("GOOGLETRANSLATE(A3335, ""zh-CN"", ""en"")"),"Hubei Province")</f>
        <v>Hubei Province</v>
      </c>
      <c r="C3409" s="1" t="s">
        <v>3110</v>
      </c>
      <c r="D3409" s="1" t="str">
        <f>IFERROR(__xludf.DUMMYFUNCTION("GOOGLETRANSLATE(C3409, ""zh-CN"", ""en"")"),"Shenyang city")</f>
        <v>Shenyang city</v>
      </c>
      <c r="E3409" s="1" t="s">
        <v>2806</v>
      </c>
      <c r="F3409" s="1" t="str">
        <f>IFERROR(__xludf.DUMMYFUNCTION("GOOGLETRANSLATE(E3409, ""zh-CN"", ""en"")"),"Heping District")</f>
        <v>Heping District</v>
      </c>
      <c r="G3409" s="1">
        <v>2.10102E11</v>
      </c>
    </row>
    <row r="3410">
      <c r="A3410" s="1" t="s">
        <v>3109</v>
      </c>
      <c r="B3410" s="1" t="str">
        <f>IFERROR(__xludf.DUMMYFUNCTION("GOOGLETRANSLATE(A3336, ""zh-CN"", ""en"")"),"Hubei Province")</f>
        <v>Hubei Province</v>
      </c>
      <c r="C3410" s="1" t="s">
        <v>3110</v>
      </c>
      <c r="D3410" s="1" t="str">
        <f>IFERROR(__xludf.DUMMYFUNCTION("GOOGLETRANSLATE(C3410, ""zh-CN"", ""en"")"),"Shenyang city")</f>
        <v>Shenyang city</v>
      </c>
      <c r="E3410" s="1" t="s">
        <v>3124</v>
      </c>
      <c r="F3410" s="1" t="str">
        <f>IFERROR(__xludf.DUMMYFUNCTION("GOOGLETRANSLATE(E3410, ""zh-CN"", ""en"")"),"Shenhe District")</f>
        <v>Shenhe District</v>
      </c>
      <c r="G3410" s="1">
        <v>2.10103E11</v>
      </c>
    </row>
    <row r="3411">
      <c r="A3411" s="1" t="s">
        <v>3109</v>
      </c>
      <c r="B3411" s="1" t="str">
        <f>IFERROR(__xludf.DUMMYFUNCTION("GOOGLETRANSLATE(A3337, ""zh-CN"", ""en"")"),"Hubei Province")</f>
        <v>Hubei Province</v>
      </c>
      <c r="C3411" s="1" t="s">
        <v>3110</v>
      </c>
      <c r="D3411" s="1" t="str">
        <f>IFERROR(__xludf.DUMMYFUNCTION("GOOGLETRANSLATE(C3411, ""zh-CN"", ""en"")"),"Shenyang city")</f>
        <v>Shenyang city</v>
      </c>
      <c r="E3411" s="1" t="s">
        <v>3125</v>
      </c>
      <c r="F3411" s="1" t="str">
        <f>IFERROR(__xludf.DUMMYFUNCTION("GOOGLETRANSLATE(E3411, ""zh-CN"", ""en"")"),"Great East District")</f>
        <v>Great East District</v>
      </c>
      <c r="G3411" s="1">
        <v>2.10104E11</v>
      </c>
    </row>
    <row r="3412">
      <c r="A3412" s="1" t="s">
        <v>3109</v>
      </c>
      <c r="B3412" s="1" t="str">
        <f>IFERROR(__xludf.DUMMYFUNCTION("GOOGLETRANSLATE(A3338, ""zh-CN"", ""en"")"),"Hubei Province")</f>
        <v>Hubei Province</v>
      </c>
      <c r="C3412" s="1" t="s">
        <v>3110</v>
      </c>
      <c r="D3412" s="1" t="str">
        <f>IFERROR(__xludf.DUMMYFUNCTION("GOOGLETRANSLATE(C3412, ""zh-CN"", ""en"")"),"Shenyang city")</f>
        <v>Shenyang city</v>
      </c>
      <c r="E3412" s="1" t="s">
        <v>3126</v>
      </c>
      <c r="F3412" s="1" t="str">
        <f>IFERROR(__xludf.DUMMYFUNCTION("GOOGLETRANSLATE(E3412, ""zh-CN"", ""en"")"),"Emperor")</f>
        <v>Emperor</v>
      </c>
      <c r="G3412" s="1">
        <v>2.10105E11</v>
      </c>
    </row>
    <row r="3413">
      <c r="A3413" s="1" t="s">
        <v>3109</v>
      </c>
      <c r="B3413" s="1" t="str">
        <f>IFERROR(__xludf.DUMMYFUNCTION("GOOGLETRANSLATE(A3339, ""zh-CN"", ""en"")"),"Hubei Province")</f>
        <v>Hubei Province</v>
      </c>
      <c r="C3413" s="1" t="s">
        <v>3110</v>
      </c>
      <c r="D3413" s="1" t="str">
        <f>IFERROR(__xludf.DUMMYFUNCTION("GOOGLETRANSLATE(C3413, ""zh-CN"", ""en"")"),"Shenyang city")</f>
        <v>Shenyang city</v>
      </c>
      <c r="E3413" s="1" t="s">
        <v>2463</v>
      </c>
      <c r="F3413" s="1" t="str">
        <f>IFERROR(__xludf.DUMMYFUNCTION("GOOGLETRANSLATE(E3413, ""zh-CN"", ""en"")"),"Tiexi District")</f>
        <v>Tiexi District</v>
      </c>
      <c r="G3413" s="1">
        <v>2.10106E11</v>
      </c>
    </row>
    <row r="3414">
      <c r="A3414" s="1" t="s">
        <v>3109</v>
      </c>
      <c r="B3414" s="1" t="str">
        <f>IFERROR(__xludf.DUMMYFUNCTION("GOOGLETRANSLATE(A3340, ""zh-CN"", ""en"")"),"Hubei Province")</f>
        <v>Hubei Province</v>
      </c>
      <c r="C3414" s="1" t="s">
        <v>3110</v>
      </c>
      <c r="D3414" s="1" t="str">
        <f>IFERROR(__xludf.DUMMYFUNCTION("GOOGLETRANSLATE(C3414, ""zh-CN"", ""en"")"),"Shenyang city")</f>
        <v>Shenyang city</v>
      </c>
      <c r="E3414" s="1" t="s">
        <v>3127</v>
      </c>
      <c r="F3414" s="1" t="str">
        <f>IFERROR(__xludf.DUMMYFUNCTION("GOOGLETRANSLATE(E3414, ""zh-CN"", ""en"")"),"Sujiatun District")</f>
        <v>Sujiatun District</v>
      </c>
      <c r="G3414" s="1">
        <v>2.10111E11</v>
      </c>
    </row>
    <row r="3415">
      <c r="A3415" s="1" t="s">
        <v>3109</v>
      </c>
      <c r="B3415" s="1" t="str">
        <f>IFERROR(__xludf.DUMMYFUNCTION("GOOGLETRANSLATE(A3341, ""zh-CN"", ""en"")"),"Hubei Province")</f>
        <v>Hubei Province</v>
      </c>
      <c r="C3415" s="1" t="s">
        <v>3110</v>
      </c>
      <c r="D3415" s="1" t="str">
        <f>IFERROR(__xludf.DUMMYFUNCTION("GOOGLETRANSLATE(C3415, ""zh-CN"", ""en"")"),"Shenyang city")</f>
        <v>Shenyang city</v>
      </c>
      <c r="E3415" s="1" t="s">
        <v>3128</v>
      </c>
      <c r="F3415" s="1" t="str">
        <f>IFERROR(__xludf.DUMMYFUNCTION("GOOGLETRANSLATE(E3415, ""zh-CN"", ""en"")"),"Hunan District")</f>
        <v>Hunan District</v>
      </c>
      <c r="G3415" s="1">
        <v>2.10112E11</v>
      </c>
    </row>
    <row r="3416">
      <c r="A3416" s="1" t="s">
        <v>3109</v>
      </c>
      <c r="B3416" s="1" t="str">
        <f>IFERROR(__xludf.DUMMYFUNCTION("GOOGLETRANSLATE(A3342, ""zh-CN"", ""en"")"),"Hubei Province")</f>
        <v>Hubei Province</v>
      </c>
      <c r="C3416" s="1" t="s">
        <v>3110</v>
      </c>
      <c r="D3416" s="1" t="str">
        <f>IFERROR(__xludf.DUMMYFUNCTION("GOOGLETRANSLATE(C3416, ""zh-CN"", ""en"")"),"Shenyang city")</f>
        <v>Shenyang city</v>
      </c>
      <c r="E3416" s="1" t="s">
        <v>3129</v>
      </c>
      <c r="F3416" s="1" t="str">
        <f>IFERROR(__xludf.DUMMYFUNCTION("GOOGLETRANSLATE(E3416, ""zh-CN"", ""en"")"),"Shenbei New District")</f>
        <v>Shenbei New District</v>
      </c>
      <c r="G3416" s="1">
        <v>2.10113E11</v>
      </c>
    </row>
    <row r="3417">
      <c r="A3417" s="1" t="s">
        <v>3109</v>
      </c>
      <c r="B3417" s="1" t="str">
        <f>IFERROR(__xludf.DUMMYFUNCTION("GOOGLETRANSLATE(A3343, ""zh-CN"", ""en"")"),"Hubei Province")</f>
        <v>Hubei Province</v>
      </c>
      <c r="C3417" s="1" t="s">
        <v>3110</v>
      </c>
      <c r="D3417" s="1" t="str">
        <f>IFERROR(__xludf.DUMMYFUNCTION("GOOGLETRANSLATE(C3417, ""zh-CN"", ""en"")"),"Shenyang city")</f>
        <v>Shenyang city</v>
      </c>
      <c r="E3417" s="1" t="s">
        <v>3130</v>
      </c>
      <c r="F3417" s="1" t="str">
        <f>IFERROR(__xludf.DUMMYFUNCTION("GOOGLETRANSLATE(E3417, ""zh-CN"", ""en"")"),"Yuhong District")</f>
        <v>Yuhong District</v>
      </c>
      <c r="G3417" s="1">
        <v>2.10114E11</v>
      </c>
    </row>
    <row r="3418">
      <c r="A3418" s="1" t="s">
        <v>3109</v>
      </c>
      <c r="B3418" s="1" t="str">
        <f>IFERROR(__xludf.DUMMYFUNCTION("GOOGLETRANSLATE(A3344, ""zh-CN"", ""en"")"),"Hubei Province")</f>
        <v>Hubei Province</v>
      </c>
      <c r="C3418" s="1" t="s">
        <v>3110</v>
      </c>
      <c r="D3418" s="1" t="str">
        <f>IFERROR(__xludf.DUMMYFUNCTION("GOOGLETRANSLATE(C3418, ""zh-CN"", ""en"")"),"Shenyang city")</f>
        <v>Shenyang city</v>
      </c>
      <c r="E3418" s="1" t="s">
        <v>3131</v>
      </c>
      <c r="F3418" s="1" t="str">
        <f>IFERROR(__xludf.DUMMYFUNCTION("GOOGLETRANSLATE(E3418, ""zh-CN"", ""en"")"),"Liao Central District")</f>
        <v>Liao Central District</v>
      </c>
      <c r="G3418" s="1">
        <v>2.10115E11</v>
      </c>
    </row>
    <row r="3419">
      <c r="A3419" s="1" t="s">
        <v>3109</v>
      </c>
      <c r="B3419" s="1" t="str">
        <f>IFERROR(__xludf.DUMMYFUNCTION("GOOGLETRANSLATE(A3345, ""zh-CN"", ""en"")"),"Hubei Province")</f>
        <v>Hubei Province</v>
      </c>
      <c r="C3419" s="1" t="s">
        <v>3110</v>
      </c>
      <c r="D3419" s="1" t="str">
        <f>IFERROR(__xludf.DUMMYFUNCTION("GOOGLETRANSLATE(C3419, ""zh-CN"", ""en"")"),"Shenyang city")</f>
        <v>Shenyang city</v>
      </c>
      <c r="E3419" s="1" t="s">
        <v>3132</v>
      </c>
      <c r="F3419" s="1" t="str">
        <f>IFERROR(__xludf.DUMMYFUNCTION("GOOGLETRANSLATE(E3419, ""zh-CN"", ""en"")"),"Kangping County")</f>
        <v>Kangping County</v>
      </c>
      <c r="G3419" s="1">
        <v>2.10123E11</v>
      </c>
    </row>
    <row r="3420">
      <c r="A3420" s="1" t="s">
        <v>3109</v>
      </c>
      <c r="B3420" s="1" t="str">
        <f>IFERROR(__xludf.DUMMYFUNCTION("GOOGLETRANSLATE(A3346, ""zh-CN"", ""en"")"),"Hubei Province")</f>
        <v>Hubei Province</v>
      </c>
      <c r="C3420" s="1" t="s">
        <v>3110</v>
      </c>
      <c r="D3420" s="1" t="str">
        <f>IFERROR(__xludf.DUMMYFUNCTION("GOOGLETRANSLATE(C3420, ""zh-CN"", ""en"")"),"Shenyang city")</f>
        <v>Shenyang city</v>
      </c>
      <c r="E3420" s="1" t="s">
        <v>3133</v>
      </c>
      <c r="F3420" s="1" t="str">
        <f>IFERROR(__xludf.DUMMYFUNCTION("GOOGLETRANSLATE(E3420, ""zh-CN"", ""en"")"),"Faku County")</f>
        <v>Faku County</v>
      </c>
      <c r="G3420" s="1">
        <v>2.10124E11</v>
      </c>
    </row>
    <row r="3421">
      <c r="A3421" s="1" t="s">
        <v>3109</v>
      </c>
      <c r="B3421" s="1" t="str">
        <f>IFERROR(__xludf.DUMMYFUNCTION("GOOGLETRANSLATE(A3347, ""zh-CN"", ""en"")"),"Hubei Province")</f>
        <v>Hubei Province</v>
      </c>
      <c r="C3421" s="1" t="s">
        <v>3110</v>
      </c>
      <c r="D3421" s="1" t="str">
        <f>IFERROR(__xludf.DUMMYFUNCTION("GOOGLETRANSLATE(C3421, ""zh-CN"", ""en"")"),"Shenyang city")</f>
        <v>Shenyang city</v>
      </c>
      <c r="E3421" s="1" t="s">
        <v>3134</v>
      </c>
      <c r="F3421" s="1" t="str">
        <f>IFERROR(__xludf.DUMMYFUNCTION("GOOGLETRANSLATE(E3421, ""zh-CN"", ""en"")"),"Xinmin City")</f>
        <v>Xinmin City</v>
      </c>
      <c r="G3421" s="1">
        <v>2.10181E11</v>
      </c>
    </row>
    <row r="3422">
      <c r="A3422" s="1" t="s">
        <v>3109</v>
      </c>
      <c r="B3422" s="1" t="str">
        <f>IFERROR(__xludf.DUMMYFUNCTION("GOOGLETRANSLATE(A3348, ""zh-CN"", ""en"")"),"Hubei Province")</f>
        <v>Hubei Province</v>
      </c>
      <c r="C3422" s="1" t="s">
        <v>3111</v>
      </c>
      <c r="D3422" s="1" t="str">
        <f>IFERROR(__xludf.DUMMYFUNCTION("GOOGLETRANSLATE(C3422, ""zh-CN"", ""en"")"),"Dalian")</f>
        <v>Dalian</v>
      </c>
      <c r="E3422" s="1" t="s">
        <v>24</v>
      </c>
      <c r="F3422" s="1" t="str">
        <f>IFERROR(__xludf.DUMMYFUNCTION("GOOGLETRANSLATE(E3422, ""zh-CN"", ""en"")"),"City area")</f>
        <v>City area</v>
      </c>
      <c r="G3422" s="1">
        <v>2.10201E11</v>
      </c>
    </row>
    <row r="3423">
      <c r="A3423" s="1" t="s">
        <v>3109</v>
      </c>
      <c r="B3423" s="1" t="str">
        <f>IFERROR(__xludf.DUMMYFUNCTION("GOOGLETRANSLATE(A3349, ""zh-CN"", ""en"")"),"Hubei Province")</f>
        <v>Hubei Province</v>
      </c>
      <c r="C3423" s="1" t="s">
        <v>3111</v>
      </c>
      <c r="D3423" s="1" t="str">
        <f>IFERROR(__xludf.DUMMYFUNCTION("GOOGLETRANSLATE(C3423, ""zh-CN"", ""en"")"),"Dalian")</f>
        <v>Dalian</v>
      </c>
      <c r="E3423" s="1" t="s">
        <v>3135</v>
      </c>
      <c r="F3423" s="1" t="str">
        <f>IFERROR(__xludf.DUMMYFUNCTION("GOOGLETRANSLATE(E3423, ""zh-CN"", ""en"")"),"Zhongshan Area")</f>
        <v>Zhongshan Area</v>
      </c>
      <c r="G3423" s="1">
        <v>2.10202E11</v>
      </c>
    </row>
    <row r="3424">
      <c r="A3424" s="1" t="s">
        <v>3109</v>
      </c>
      <c r="B3424" s="1" t="str">
        <f>IFERROR(__xludf.DUMMYFUNCTION("GOOGLETRANSLATE(A3350, ""zh-CN"", ""en"")"),"Hubei Province")</f>
        <v>Hubei Province</v>
      </c>
      <c r="C3424" s="1" t="s">
        <v>3111</v>
      </c>
      <c r="D3424" s="1" t="str">
        <f>IFERROR(__xludf.DUMMYFUNCTION("GOOGLETRANSLATE(C3424, ""zh-CN"", ""en"")"),"Dalian")</f>
        <v>Dalian</v>
      </c>
      <c r="E3424" s="1" t="s">
        <v>3136</v>
      </c>
      <c r="F3424" s="1" t="str">
        <f>IFERROR(__xludf.DUMMYFUNCTION("GOOGLETRANSLATE(E3424, ""zh-CN"", ""en"")"),"Xigang District")</f>
        <v>Xigang District</v>
      </c>
      <c r="G3424" s="1">
        <v>2.10203E11</v>
      </c>
    </row>
    <row r="3425">
      <c r="A3425" s="1" t="s">
        <v>3109</v>
      </c>
      <c r="B3425" s="1" t="str">
        <f>IFERROR(__xludf.DUMMYFUNCTION("GOOGLETRANSLATE(A3351, ""zh-CN"", ""en"")"),"Hubei Province")</f>
        <v>Hubei Province</v>
      </c>
      <c r="C3425" s="1" t="s">
        <v>3111</v>
      </c>
      <c r="D3425" s="1" t="str">
        <f>IFERROR(__xludf.DUMMYFUNCTION("GOOGLETRANSLATE(C3425, ""zh-CN"", ""en"")"),"Dalian")</f>
        <v>Dalian</v>
      </c>
      <c r="E3425" s="1" t="s">
        <v>3137</v>
      </c>
      <c r="F3425" s="1" t="str">
        <f>IFERROR(__xludf.DUMMYFUNCTION("GOOGLETRANSLATE(E3425, ""zh-CN"", ""en"")"),"Shahekou District")</f>
        <v>Shahekou District</v>
      </c>
      <c r="G3425" s="1">
        <v>2.10204E11</v>
      </c>
    </row>
    <row r="3426">
      <c r="A3426" s="1" t="s">
        <v>3109</v>
      </c>
      <c r="B3426" s="1" t="str">
        <f>IFERROR(__xludf.DUMMYFUNCTION("GOOGLETRANSLATE(A3352, ""zh-CN"", ""en"")"),"Hubei Province")</f>
        <v>Hubei Province</v>
      </c>
      <c r="C3426" s="1" t="s">
        <v>3111</v>
      </c>
      <c r="D3426" s="1" t="str">
        <f>IFERROR(__xludf.DUMMYFUNCTION("GOOGLETRANSLATE(C3426, ""zh-CN"", ""en"")"),"Dalian")</f>
        <v>Dalian</v>
      </c>
      <c r="E3426" s="1" t="s">
        <v>3138</v>
      </c>
      <c r="F3426" s="1" t="str">
        <f>IFERROR(__xludf.DUMMYFUNCTION("GOOGLETRANSLATE(E3426, ""zh-CN"", ""en"")"),"Ganjingzi District")</f>
        <v>Ganjingzi District</v>
      </c>
      <c r="G3426" s="1">
        <v>2.10211E11</v>
      </c>
    </row>
    <row r="3427">
      <c r="A3427" s="1" t="s">
        <v>3109</v>
      </c>
      <c r="B3427" s="1" t="str">
        <f>IFERROR(__xludf.DUMMYFUNCTION("GOOGLETRANSLATE(A3353, ""zh-CN"", ""en"")"),"Hubei Province")</f>
        <v>Hubei Province</v>
      </c>
      <c r="C3427" s="1" t="s">
        <v>3111</v>
      </c>
      <c r="D3427" s="1" t="str">
        <f>IFERROR(__xludf.DUMMYFUNCTION("GOOGLETRANSLATE(C3427, ""zh-CN"", ""en"")"),"Dalian")</f>
        <v>Dalian</v>
      </c>
      <c r="E3427" s="1" t="s">
        <v>3139</v>
      </c>
      <c r="F3427" s="1" t="str">
        <f>IFERROR(__xludf.DUMMYFUNCTION("GOOGLETRANSLATE(E3427, ""zh-CN"", ""en"")"),"Lushunkou District")</f>
        <v>Lushunkou District</v>
      </c>
      <c r="G3427" s="1">
        <v>2.10212E11</v>
      </c>
    </row>
    <row r="3428">
      <c r="A3428" s="1" t="s">
        <v>3109</v>
      </c>
      <c r="B3428" s="1" t="str">
        <f>IFERROR(__xludf.DUMMYFUNCTION("GOOGLETRANSLATE(A3354, ""zh-CN"", ""en"")"),"Hubei Province")</f>
        <v>Hubei Province</v>
      </c>
      <c r="C3428" s="1" t="s">
        <v>3111</v>
      </c>
      <c r="D3428" s="1" t="str">
        <f>IFERROR(__xludf.DUMMYFUNCTION("GOOGLETRANSLATE(C3428, ""zh-CN"", ""en"")"),"Dalian")</f>
        <v>Dalian</v>
      </c>
      <c r="E3428" s="1" t="s">
        <v>3140</v>
      </c>
      <c r="F3428" s="1" t="str">
        <f>IFERROR(__xludf.DUMMYFUNCTION("GOOGLETRANSLATE(E3428, ""zh-CN"", ""en"")"),"Jinzhou District")</f>
        <v>Jinzhou District</v>
      </c>
      <c r="G3428" s="1">
        <v>2.10213E11</v>
      </c>
    </row>
    <row r="3429">
      <c r="A3429" s="1" t="s">
        <v>3109</v>
      </c>
      <c r="B3429" s="1" t="str">
        <f>IFERROR(__xludf.DUMMYFUNCTION("GOOGLETRANSLATE(A3355, ""zh-CN"", ""en"")"),"Hubei Province")</f>
        <v>Hubei Province</v>
      </c>
      <c r="C3429" s="1" t="s">
        <v>3111</v>
      </c>
      <c r="D3429" s="1" t="str">
        <f>IFERROR(__xludf.DUMMYFUNCTION("GOOGLETRANSLATE(C3429, ""zh-CN"", ""en"")"),"Dalian")</f>
        <v>Dalian</v>
      </c>
      <c r="E3429" s="1" t="s">
        <v>3141</v>
      </c>
      <c r="F3429" s="1" t="str">
        <f>IFERROR(__xludf.DUMMYFUNCTION("GOOGLETRANSLATE(E3429, ""zh-CN"", ""en"")"),"Pulandian")</f>
        <v>Pulandian</v>
      </c>
      <c r="G3429" s="1">
        <v>2.10214E11</v>
      </c>
    </row>
    <row r="3430">
      <c r="A3430" s="1" t="s">
        <v>3109</v>
      </c>
      <c r="B3430" s="1" t="str">
        <f>IFERROR(__xludf.DUMMYFUNCTION("GOOGLETRANSLATE(A3356, ""zh-CN"", ""en"")"),"Hubei Province")</f>
        <v>Hubei Province</v>
      </c>
      <c r="C3430" s="1" t="s">
        <v>3111</v>
      </c>
      <c r="D3430" s="1" t="str">
        <f>IFERROR(__xludf.DUMMYFUNCTION("GOOGLETRANSLATE(C3430, ""zh-CN"", ""en"")"),"Dalian")</f>
        <v>Dalian</v>
      </c>
      <c r="E3430" s="1" t="s">
        <v>3142</v>
      </c>
      <c r="F3430" s="1" t="str">
        <f>IFERROR(__xludf.DUMMYFUNCTION("GOOGLETRANSLATE(E3430, ""zh-CN"", ""en"")"),"Changhai County")</f>
        <v>Changhai County</v>
      </c>
      <c r="G3430" s="1">
        <v>2.10224E11</v>
      </c>
    </row>
    <row r="3431">
      <c r="A3431" s="1" t="s">
        <v>3109</v>
      </c>
      <c r="B3431" s="1" t="str">
        <f>IFERROR(__xludf.DUMMYFUNCTION("GOOGLETRANSLATE(A3357, ""zh-CN"", ""en"")"),"Hubei Province")</f>
        <v>Hubei Province</v>
      </c>
      <c r="C3431" s="1" t="s">
        <v>3111</v>
      </c>
      <c r="D3431" s="1" t="str">
        <f>IFERROR(__xludf.DUMMYFUNCTION("GOOGLETRANSLATE(C3431, ""zh-CN"", ""en"")"),"Dalian")</f>
        <v>Dalian</v>
      </c>
      <c r="E3431" s="1" t="s">
        <v>3143</v>
      </c>
      <c r="F3431" s="1" t="str">
        <f>IFERROR(__xludf.DUMMYFUNCTION("GOOGLETRANSLATE(E3431, ""zh-CN"", ""en"")"),"Wafangdian City")</f>
        <v>Wafangdian City</v>
      </c>
      <c r="G3431" s="1">
        <v>2.10281E11</v>
      </c>
    </row>
    <row r="3432">
      <c r="A3432" s="1" t="s">
        <v>3109</v>
      </c>
      <c r="B3432" s="1" t="str">
        <f>IFERROR(__xludf.DUMMYFUNCTION("GOOGLETRANSLATE(A3358, ""zh-CN"", ""en"")"),"Hubei Province")</f>
        <v>Hubei Province</v>
      </c>
      <c r="C3432" s="1" t="s">
        <v>3111</v>
      </c>
      <c r="D3432" s="1" t="str">
        <f>IFERROR(__xludf.DUMMYFUNCTION("GOOGLETRANSLATE(C3432, ""zh-CN"", ""en"")"),"Dalian")</f>
        <v>Dalian</v>
      </c>
      <c r="E3432" s="1" t="s">
        <v>3144</v>
      </c>
      <c r="F3432" s="1" t="str">
        <f>IFERROR(__xludf.DUMMYFUNCTION("GOOGLETRANSLATE(E3432, ""zh-CN"", ""en"")"),"Zhuanghe City")</f>
        <v>Zhuanghe City</v>
      </c>
      <c r="G3432" s="1">
        <v>2.10283E11</v>
      </c>
    </row>
    <row r="3433">
      <c r="A3433" s="1" t="s">
        <v>3109</v>
      </c>
      <c r="B3433" s="1" t="str">
        <f>IFERROR(__xludf.DUMMYFUNCTION("GOOGLETRANSLATE(A3359, ""zh-CN"", ""en"")"),"Hubei Province")</f>
        <v>Hubei Province</v>
      </c>
      <c r="C3433" s="1" t="s">
        <v>3112</v>
      </c>
      <c r="D3433" s="1" t="str">
        <f>IFERROR(__xludf.DUMMYFUNCTION("GOOGLETRANSLATE(C3433, ""zh-CN"", ""en"")"),"Anshan City")</f>
        <v>Anshan City</v>
      </c>
      <c r="E3433" s="1" t="s">
        <v>24</v>
      </c>
      <c r="F3433" s="1" t="str">
        <f>IFERROR(__xludf.DUMMYFUNCTION("GOOGLETRANSLATE(E3433, ""zh-CN"", ""en"")"),"City area")</f>
        <v>City area</v>
      </c>
      <c r="G3433" s="1">
        <v>2.10301E11</v>
      </c>
    </row>
    <row r="3434">
      <c r="A3434" s="1" t="s">
        <v>3109</v>
      </c>
      <c r="B3434" s="1" t="str">
        <f>IFERROR(__xludf.DUMMYFUNCTION("GOOGLETRANSLATE(A3360, ""zh-CN"", ""en"")"),"Hubei Province")</f>
        <v>Hubei Province</v>
      </c>
      <c r="C3434" s="1" t="s">
        <v>3112</v>
      </c>
      <c r="D3434" s="1" t="str">
        <f>IFERROR(__xludf.DUMMYFUNCTION("GOOGLETRANSLATE(C3434, ""zh-CN"", ""en"")"),"Anshan City")</f>
        <v>Anshan City</v>
      </c>
      <c r="E3434" s="1" t="s">
        <v>2464</v>
      </c>
      <c r="F3434" s="1" t="str">
        <f>IFERROR(__xludf.DUMMYFUNCTION("GOOGLETRANSLATE(E3434, ""zh-CN"", ""en"")"),"East")</f>
        <v>East</v>
      </c>
      <c r="G3434" s="1">
        <v>2.10302E11</v>
      </c>
    </row>
    <row r="3435">
      <c r="A3435" s="1" t="s">
        <v>3109</v>
      </c>
      <c r="B3435" s="1" t="str">
        <f>IFERROR(__xludf.DUMMYFUNCTION("GOOGLETRANSLATE(A3361, ""zh-CN"", ""en"")"),"Hubei Province")</f>
        <v>Hubei Province</v>
      </c>
      <c r="C3435" s="1" t="s">
        <v>3112</v>
      </c>
      <c r="D3435" s="1" t="str">
        <f>IFERROR(__xludf.DUMMYFUNCTION("GOOGLETRANSLATE(C3435, ""zh-CN"", ""en"")"),"Anshan City")</f>
        <v>Anshan City</v>
      </c>
      <c r="E3435" s="1" t="s">
        <v>2463</v>
      </c>
      <c r="F3435" s="1" t="str">
        <f>IFERROR(__xludf.DUMMYFUNCTION("GOOGLETRANSLATE(E3435, ""zh-CN"", ""en"")"),"Tiexi District")</f>
        <v>Tiexi District</v>
      </c>
      <c r="G3435" s="1">
        <v>2.10303E11</v>
      </c>
    </row>
    <row r="3436">
      <c r="A3436" s="1" t="s">
        <v>3109</v>
      </c>
      <c r="B3436" s="1" t="str">
        <f>IFERROR(__xludf.DUMMYFUNCTION("GOOGLETRANSLATE(A3362, ""zh-CN"", ""en"")"),"Hubei Province")</f>
        <v>Hubei Province</v>
      </c>
      <c r="C3436" s="1" t="s">
        <v>3112</v>
      </c>
      <c r="D3436" s="1" t="str">
        <f>IFERROR(__xludf.DUMMYFUNCTION("GOOGLETRANSLATE(C3436, ""zh-CN"", ""en"")"),"Anshan City")</f>
        <v>Anshan City</v>
      </c>
      <c r="E3436" s="1" t="s">
        <v>3145</v>
      </c>
      <c r="F3436" s="1" t="str">
        <f>IFERROR(__xludf.DUMMYFUNCTION("GOOGLETRANSLATE(E3436, ""zh-CN"", ""en"")"),"Lishan District")</f>
        <v>Lishan District</v>
      </c>
      <c r="G3436" s="1">
        <v>2.10304E11</v>
      </c>
    </row>
    <row r="3437">
      <c r="A3437" s="1" t="s">
        <v>3109</v>
      </c>
      <c r="B3437" s="1" t="str">
        <f>IFERROR(__xludf.DUMMYFUNCTION("GOOGLETRANSLATE(A3363, ""zh-CN"", ""en"")"),"Hubei Province")</f>
        <v>Hubei Province</v>
      </c>
      <c r="C3437" s="1" t="s">
        <v>3112</v>
      </c>
      <c r="D3437" s="1" t="str">
        <f>IFERROR(__xludf.DUMMYFUNCTION("GOOGLETRANSLATE(C3437, ""zh-CN"", ""en"")"),"Anshan City")</f>
        <v>Anshan City</v>
      </c>
      <c r="E3437" s="1" t="s">
        <v>3146</v>
      </c>
      <c r="F3437" s="1" t="str">
        <f>IFERROR(__xludf.DUMMYFUNCTION("GOOGLETRANSLATE(E3437, ""zh-CN"", ""en"")"),"Qianshan District")</f>
        <v>Qianshan District</v>
      </c>
      <c r="G3437" s="1">
        <v>2.10311E11</v>
      </c>
    </row>
    <row r="3438">
      <c r="A3438" s="1" t="s">
        <v>3109</v>
      </c>
      <c r="B3438" s="1" t="str">
        <f>IFERROR(__xludf.DUMMYFUNCTION("GOOGLETRANSLATE(A3364, ""zh-CN"", ""en"")"),"Hubei Province")</f>
        <v>Hubei Province</v>
      </c>
      <c r="C3438" s="1" t="s">
        <v>3112</v>
      </c>
      <c r="D3438" s="1" t="str">
        <f>IFERROR(__xludf.DUMMYFUNCTION("GOOGLETRANSLATE(C3438, ""zh-CN"", ""en"")"),"Anshan City")</f>
        <v>Anshan City</v>
      </c>
      <c r="E3438" s="1" t="s">
        <v>3147</v>
      </c>
      <c r="F3438" s="1" t="str">
        <f>IFERROR(__xludf.DUMMYFUNCTION("GOOGLETRANSLATE(E3438, ""zh-CN"", ""en"")"),"Tai'an County")</f>
        <v>Tai'an County</v>
      </c>
      <c r="G3438" s="1">
        <v>2.10321E11</v>
      </c>
    </row>
    <row r="3439">
      <c r="A3439" s="1" t="s">
        <v>3109</v>
      </c>
      <c r="B3439" s="1" t="str">
        <f>IFERROR(__xludf.DUMMYFUNCTION("GOOGLETRANSLATE(A3365, ""zh-CN"", ""en"")"),"Hubei Province")</f>
        <v>Hubei Province</v>
      </c>
      <c r="C3439" s="1" t="s">
        <v>3112</v>
      </c>
      <c r="D3439" s="1" t="str">
        <f>IFERROR(__xludf.DUMMYFUNCTION("GOOGLETRANSLATE(C3439, ""zh-CN"", ""en"")"),"Anshan City")</f>
        <v>Anshan City</v>
      </c>
      <c r="E3439" s="1" t="s">
        <v>3148</v>
      </c>
      <c r="F3439" s="1" t="str">
        <f>IFERROR(__xludf.DUMMYFUNCTION("GOOGLETRANSLATE(E3439, ""zh-CN"", ""en"")"),"Xiuyan Manchu Autonomous County")</f>
        <v>Xiuyan Manchu Autonomous County</v>
      </c>
      <c r="G3439" s="1">
        <v>2.10323E11</v>
      </c>
    </row>
    <row r="3440">
      <c r="A3440" s="1" t="s">
        <v>3109</v>
      </c>
      <c r="B3440" s="1" t="str">
        <f>IFERROR(__xludf.DUMMYFUNCTION("GOOGLETRANSLATE(A3366, ""zh-CN"", ""en"")"),"Hubei Province")</f>
        <v>Hubei Province</v>
      </c>
      <c r="C3440" s="1" t="s">
        <v>3112</v>
      </c>
      <c r="D3440" s="1" t="str">
        <f>IFERROR(__xludf.DUMMYFUNCTION("GOOGLETRANSLATE(C3440, ""zh-CN"", ""en"")"),"Anshan City")</f>
        <v>Anshan City</v>
      </c>
      <c r="E3440" s="1" t="s">
        <v>3149</v>
      </c>
      <c r="F3440" s="1" t="str">
        <f>IFERROR(__xludf.DUMMYFUNCTION("GOOGLETRANSLATE(E3440, ""zh-CN"", ""en"")"),"Sea city")</f>
        <v>Sea city</v>
      </c>
      <c r="G3440" s="1">
        <v>2.10381E11</v>
      </c>
    </row>
    <row r="3441">
      <c r="A3441" s="1" t="s">
        <v>3109</v>
      </c>
      <c r="B3441" s="1" t="str">
        <f>IFERROR(__xludf.DUMMYFUNCTION("GOOGLETRANSLATE(A3367, ""zh-CN"", ""en"")"),"Hubei Province")</f>
        <v>Hubei Province</v>
      </c>
      <c r="C3441" s="1" t="s">
        <v>3113</v>
      </c>
      <c r="D3441" s="1" t="str">
        <f>IFERROR(__xludf.DUMMYFUNCTION("GOOGLETRANSLATE(C3441, ""zh-CN"", ""en"")"),"Fushun City")</f>
        <v>Fushun City</v>
      </c>
      <c r="E3441" s="1" t="s">
        <v>24</v>
      </c>
      <c r="F3441" s="1" t="str">
        <f>IFERROR(__xludf.DUMMYFUNCTION("GOOGLETRANSLATE(E3441, ""zh-CN"", ""en"")"),"City area")</f>
        <v>City area</v>
      </c>
      <c r="G3441" s="1">
        <v>2.10401E11</v>
      </c>
    </row>
    <row r="3442">
      <c r="A3442" s="1" t="s">
        <v>3109</v>
      </c>
      <c r="B3442" s="1" t="str">
        <f>IFERROR(__xludf.DUMMYFUNCTION("GOOGLETRANSLATE(A3368, ""zh-CN"", ""en"")"),"Hubei Province")</f>
        <v>Hubei Province</v>
      </c>
      <c r="C3442" s="1" t="s">
        <v>3113</v>
      </c>
      <c r="D3442" s="1" t="str">
        <f>IFERROR(__xludf.DUMMYFUNCTION("GOOGLETRANSLATE(C3442, ""zh-CN"", ""en"")"),"Fushun City")</f>
        <v>Fushun City</v>
      </c>
      <c r="E3442" s="1" t="s">
        <v>3150</v>
      </c>
      <c r="F3442" s="1" t="str">
        <f>IFERROR(__xludf.DUMMYFUNCTION("GOOGLETRANSLATE(E3442, ""zh-CN"", ""en"")"),"New warehouse")</f>
        <v>New warehouse</v>
      </c>
      <c r="G3442" s="1">
        <v>2.10402E11</v>
      </c>
    </row>
    <row r="3443">
      <c r="A3443" s="1" t="s">
        <v>3109</v>
      </c>
      <c r="B3443" s="1" t="str">
        <f>IFERROR(__xludf.DUMMYFUNCTION("GOOGLETRANSLATE(A3369, ""zh-CN"", ""en"")"),"Hubei Province")</f>
        <v>Hubei Province</v>
      </c>
      <c r="C3443" s="1" t="s">
        <v>3113</v>
      </c>
      <c r="D3443" s="1" t="str">
        <f>IFERROR(__xludf.DUMMYFUNCTION("GOOGLETRANSLATE(C3443, ""zh-CN"", ""en"")"),"Fushun City")</f>
        <v>Fushun City</v>
      </c>
      <c r="E3443" s="1" t="s">
        <v>3151</v>
      </c>
      <c r="F3443" s="1" t="str">
        <f>IFERROR(__xludf.DUMMYFUNCTION("GOOGLETRANSLATE(E3443, ""zh-CN"", ""en"")"),"Dongzhou District")</f>
        <v>Dongzhou District</v>
      </c>
      <c r="G3443" s="1">
        <v>2.10403E11</v>
      </c>
    </row>
    <row r="3444">
      <c r="A3444" s="1" t="s">
        <v>3109</v>
      </c>
      <c r="B3444" s="1" t="str">
        <f>IFERROR(__xludf.DUMMYFUNCTION("GOOGLETRANSLATE(A3370, ""zh-CN"", ""en"")"),"Hubei Province")</f>
        <v>Hubei Province</v>
      </c>
      <c r="C3444" s="1" t="s">
        <v>3113</v>
      </c>
      <c r="D3444" s="1" t="str">
        <f>IFERROR(__xludf.DUMMYFUNCTION("GOOGLETRANSLATE(C3444, ""zh-CN"", ""en"")"),"Fushun City")</f>
        <v>Fushun City</v>
      </c>
      <c r="E3444" s="1" t="s">
        <v>3152</v>
      </c>
      <c r="F3444" s="1" t="str">
        <f>IFERROR(__xludf.DUMMYFUNCTION("GOOGLETRANSLATE(E3444, ""zh-CN"", ""en"")"),"Wanghua District")</f>
        <v>Wanghua District</v>
      </c>
      <c r="G3444" s="1">
        <v>2.10404E11</v>
      </c>
    </row>
    <row r="3445">
      <c r="A3445" s="1" t="s">
        <v>3109</v>
      </c>
      <c r="B3445" s="1" t="str">
        <f>IFERROR(__xludf.DUMMYFUNCTION("GOOGLETRANSLATE(A3371, ""zh-CN"", ""en"")"),"Hubei Province")</f>
        <v>Hubei Province</v>
      </c>
      <c r="C3445" s="1" t="s">
        <v>3113</v>
      </c>
      <c r="D3445" s="1" t="str">
        <f>IFERROR(__xludf.DUMMYFUNCTION("GOOGLETRANSLATE(C3445, ""zh-CN"", ""en"")"),"Fushun City")</f>
        <v>Fushun City</v>
      </c>
      <c r="E3445" s="1" t="s">
        <v>3153</v>
      </c>
      <c r="F3445" s="1" t="str">
        <f>IFERROR(__xludf.DUMMYFUNCTION("GOOGLETRANSLATE(E3445, ""zh-CN"", ""en"")"),"Shuncheng District")</f>
        <v>Shuncheng District</v>
      </c>
      <c r="G3445" s="1">
        <v>2.10411E11</v>
      </c>
    </row>
    <row r="3446">
      <c r="A3446" s="1" t="s">
        <v>3109</v>
      </c>
      <c r="B3446" s="1" t="str">
        <f>IFERROR(__xludf.DUMMYFUNCTION("GOOGLETRANSLATE(A3372, ""zh-CN"", ""en"")"),"Hubei Province")</f>
        <v>Hubei Province</v>
      </c>
      <c r="C3446" s="1" t="s">
        <v>3113</v>
      </c>
      <c r="D3446" s="1" t="str">
        <f>IFERROR(__xludf.DUMMYFUNCTION("GOOGLETRANSLATE(C3446, ""zh-CN"", ""en"")"),"Fushun City")</f>
        <v>Fushun City</v>
      </c>
      <c r="E3446" s="1" t="s">
        <v>3154</v>
      </c>
      <c r="F3446" s="1" t="str">
        <f>IFERROR(__xludf.DUMMYFUNCTION("GOOGLETRANSLATE(E3446, ""zh-CN"", ""en"")"),"Fushun County")</f>
        <v>Fushun County</v>
      </c>
      <c r="G3446" s="1">
        <v>2.10421E11</v>
      </c>
    </row>
    <row r="3447">
      <c r="A3447" s="1" t="s">
        <v>3109</v>
      </c>
      <c r="B3447" s="1" t="str">
        <f>IFERROR(__xludf.DUMMYFUNCTION("GOOGLETRANSLATE(A3373, ""zh-CN"", ""en"")"),"Hubei Province")</f>
        <v>Hubei Province</v>
      </c>
      <c r="C3447" s="1" t="s">
        <v>3113</v>
      </c>
      <c r="D3447" s="1" t="str">
        <f>IFERROR(__xludf.DUMMYFUNCTION("GOOGLETRANSLATE(C3447, ""zh-CN"", ""en"")"),"Fushun City")</f>
        <v>Fushun City</v>
      </c>
      <c r="E3447" s="1" t="s">
        <v>3155</v>
      </c>
      <c r="F3447" s="1" t="str">
        <f>IFERROR(__xludf.DUMMYFUNCTION("GOOGLETRANSLATE(E3447, ""zh-CN"", ""en"")"),"Xinbin Manchu Autonomous County")</f>
        <v>Xinbin Manchu Autonomous County</v>
      </c>
      <c r="G3447" s="1">
        <v>2.10422E11</v>
      </c>
    </row>
    <row r="3448">
      <c r="A3448" s="1" t="s">
        <v>3109</v>
      </c>
      <c r="B3448" s="1" t="str">
        <f>IFERROR(__xludf.DUMMYFUNCTION("GOOGLETRANSLATE(A3374, ""zh-CN"", ""en"")"),"Hubei Province")</f>
        <v>Hubei Province</v>
      </c>
      <c r="C3448" s="1" t="s">
        <v>3113</v>
      </c>
      <c r="D3448" s="1" t="str">
        <f>IFERROR(__xludf.DUMMYFUNCTION("GOOGLETRANSLATE(C3448, ""zh-CN"", ""en"")"),"Fushun City")</f>
        <v>Fushun City</v>
      </c>
      <c r="E3448" s="1" t="s">
        <v>3156</v>
      </c>
      <c r="F3448" s="1" t="str">
        <f>IFERROR(__xludf.DUMMYFUNCTION("GOOGLETRANSLATE(E3448, ""zh-CN"", ""en"")"),"Qingyuan Manchu Autonomous County")</f>
        <v>Qingyuan Manchu Autonomous County</v>
      </c>
      <c r="G3448" s="1">
        <v>2.10423E11</v>
      </c>
    </row>
    <row r="3449">
      <c r="A3449" s="1" t="s">
        <v>3109</v>
      </c>
      <c r="B3449" s="1" t="str">
        <f>IFERROR(__xludf.DUMMYFUNCTION("GOOGLETRANSLATE(A3375, ""zh-CN"", ""en"")"),"Beijing")</f>
        <v>Beijing</v>
      </c>
      <c r="C3449" s="1" t="s">
        <v>3114</v>
      </c>
      <c r="D3449" s="1" t="str">
        <f>IFERROR(__xludf.DUMMYFUNCTION("GOOGLETRANSLATE(C3449, ""zh-CN"", ""en"")"),"Benxi City")</f>
        <v>Benxi City</v>
      </c>
      <c r="E3449" s="1" t="s">
        <v>24</v>
      </c>
      <c r="F3449" s="1" t="str">
        <f>IFERROR(__xludf.DUMMYFUNCTION("GOOGLETRANSLATE(E3449, ""zh-CN"", ""en"")"),"City area")</f>
        <v>City area</v>
      </c>
      <c r="G3449" s="1">
        <v>2.10501E11</v>
      </c>
    </row>
    <row r="3450">
      <c r="A3450" s="1" t="s">
        <v>3109</v>
      </c>
      <c r="B3450" s="1" t="str">
        <f>IFERROR(__xludf.DUMMYFUNCTION("GOOGLETRANSLATE(A3376, ""zh-CN"", ""en"")"),"Beijing")</f>
        <v>Beijing</v>
      </c>
      <c r="C3450" s="1" t="s">
        <v>3114</v>
      </c>
      <c r="D3450" s="1" t="str">
        <f>IFERROR(__xludf.DUMMYFUNCTION("GOOGLETRANSLATE(C3450, ""zh-CN"", ""en"")"),"Benxi City")</f>
        <v>Benxi City</v>
      </c>
      <c r="E3450" s="1" t="s">
        <v>3157</v>
      </c>
      <c r="F3450" s="1" t="str">
        <f>IFERROR(__xludf.DUMMYFUNCTION("GOOGLETRANSLATE(E3450, ""zh-CN"", ""en"")"),"Pingshan District")</f>
        <v>Pingshan District</v>
      </c>
      <c r="G3450" s="1">
        <v>2.10502E11</v>
      </c>
    </row>
    <row r="3451">
      <c r="A3451" s="1" t="s">
        <v>3109</v>
      </c>
      <c r="B3451" s="1" t="str">
        <f>IFERROR(__xludf.DUMMYFUNCTION("GOOGLETRANSLATE(A3377, ""zh-CN"", ""en"")"),"Beijing")</f>
        <v>Beijing</v>
      </c>
      <c r="C3451" s="1" t="s">
        <v>3114</v>
      </c>
      <c r="D3451" s="1" t="str">
        <f>IFERROR(__xludf.DUMMYFUNCTION("GOOGLETRANSLATE(C3451, ""zh-CN"", ""en"")"),"Benxi City")</f>
        <v>Benxi City</v>
      </c>
      <c r="E3451" s="1" t="s">
        <v>3158</v>
      </c>
      <c r="F3451" s="1" t="str">
        <f>IFERROR(__xludf.DUMMYFUNCTION("GOOGLETRANSLATE(E3451, ""zh-CN"", ""en"")"),"Xihu District")</f>
        <v>Xihu District</v>
      </c>
      <c r="G3451" s="1">
        <v>2.10503E11</v>
      </c>
    </row>
    <row r="3452">
      <c r="A3452" s="1" t="s">
        <v>3109</v>
      </c>
      <c r="B3452" s="1" t="str">
        <f>IFERROR(__xludf.DUMMYFUNCTION("GOOGLETRANSLATE(A3378, ""zh-CN"", ""en"")"),"Beijing")</f>
        <v>Beijing</v>
      </c>
      <c r="C3452" s="1" t="s">
        <v>3114</v>
      </c>
      <c r="D3452" s="1" t="str">
        <f>IFERROR(__xludf.DUMMYFUNCTION("GOOGLETRANSLATE(C3452, ""zh-CN"", ""en"")"),"Benxi City")</f>
        <v>Benxi City</v>
      </c>
      <c r="E3452" s="1" t="s">
        <v>3159</v>
      </c>
      <c r="F3452" s="1" t="str">
        <f>IFERROR(__xludf.DUMMYFUNCTION("GOOGLETRANSLATE(E3452, ""zh-CN"", ""en"")"),"Mingshan District")</f>
        <v>Mingshan District</v>
      </c>
      <c r="G3452" s="1">
        <v>2.10504E11</v>
      </c>
    </row>
    <row r="3453">
      <c r="A3453" s="1" t="s">
        <v>3109</v>
      </c>
      <c r="B3453" s="1" t="str">
        <f>IFERROR(__xludf.DUMMYFUNCTION("GOOGLETRANSLATE(A3379, ""zh-CN"", ""en"")"),"Beijing")</f>
        <v>Beijing</v>
      </c>
      <c r="C3453" s="1" t="s">
        <v>3114</v>
      </c>
      <c r="D3453" s="1" t="str">
        <f>IFERROR(__xludf.DUMMYFUNCTION("GOOGLETRANSLATE(C3453, ""zh-CN"", ""en"")"),"Benxi City")</f>
        <v>Benxi City</v>
      </c>
      <c r="E3453" s="1" t="s">
        <v>3160</v>
      </c>
      <c r="F3453" s="1" t="str">
        <f>IFERROR(__xludf.DUMMYFUNCTION("GOOGLETRANSLATE(E3453, ""zh-CN"", ""en"")"),"Nanfen District")</f>
        <v>Nanfen District</v>
      </c>
      <c r="G3453" s="1">
        <v>2.10505E11</v>
      </c>
    </row>
    <row r="3454">
      <c r="A3454" s="1" t="s">
        <v>3109</v>
      </c>
      <c r="B3454" s="1" t="str">
        <f>IFERROR(__xludf.DUMMYFUNCTION("GOOGLETRANSLATE(A3380, ""zh-CN"", ""en"")"),"Beijing")</f>
        <v>Beijing</v>
      </c>
      <c r="C3454" s="1" t="s">
        <v>3114</v>
      </c>
      <c r="D3454" s="1" t="str">
        <f>IFERROR(__xludf.DUMMYFUNCTION("GOOGLETRANSLATE(C3454, ""zh-CN"", ""en"")"),"Benxi City")</f>
        <v>Benxi City</v>
      </c>
      <c r="E3454" s="1" t="s">
        <v>3161</v>
      </c>
      <c r="F3454" s="1" t="str">
        <f>IFERROR(__xludf.DUMMYFUNCTION("GOOGLETRANSLATE(E3454, ""zh-CN"", ""en"")"),"Benxi Manchu Autonomous County")</f>
        <v>Benxi Manchu Autonomous County</v>
      </c>
      <c r="G3454" s="1">
        <v>2.10521E11</v>
      </c>
    </row>
    <row r="3455">
      <c r="A3455" s="1" t="s">
        <v>3109</v>
      </c>
      <c r="B3455" s="1" t="str">
        <f>IFERROR(__xludf.DUMMYFUNCTION("GOOGLETRANSLATE(A3381, ""zh-CN"", ""en"")"),"Beijing")</f>
        <v>Beijing</v>
      </c>
      <c r="C3455" s="1" t="s">
        <v>3114</v>
      </c>
      <c r="D3455" s="1" t="str">
        <f>IFERROR(__xludf.DUMMYFUNCTION("GOOGLETRANSLATE(C3455, ""zh-CN"", ""en"")"),"Benxi City")</f>
        <v>Benxi City</v>
      </c>
      <c r="E3455" s="1" t="s">
        <v>3162</v>
      </c>
      <c r="F3455" s="1" t="str">
        <f>IFERROR(__xludf.DUMMYFUNCTION("GOOGLETRANSLATE(E3455, ""zh-CN"", ""en"")"),"Huanren Manchu Autonomous County")</f>
        <v>Huanren Manchu Autonomous County</v>
      </c>
      <c r="G3455" s="1">
        <v>2.10522E11</v>
      </c>
    </row>
    <row r="3456">
      <c r="A3456" s="1" t="s">
        <v>3109</v>
      </c>
      <c r="B3456" s="1" t="str">
        <f>IFERROR(__xludf.DUMMYFUNCTION("GOOGLETRANSLATE(A3382, ""zh-CN"", ""en"")"),"Beijing")</f>
        <v>Beijing</v>
      </c>
      <c r="C3456" s="1" t="s">
        <v>3115</v>
      </c>
      <c r="D3456" s="1" t="str">
        <f>IFERROR(__xludf.DUMMYFUNCTION("GOOGLETRANSLATE(C3456, ""zh-CN"", ""en"")"),"Dandong City")</f>
        <v>Dandong City</v>
      </c>
      <c r="E3456" s="1" t="s">
        <v>24</v>
      </c>
      <c r="F3456" s="1" t="str">
        <f>IFERROR(__xludf.DUMMYFUNCTION("GOOGLETRANSLATE(E3456, ""zh-CN"", ""en"")"),"City area")</f>
        <v>City area</v>
      </c>
      <c r="G3456" s="1">
        <v>2.10601E11</v>
      </c>
    </row>
    <row r="3457">
      <c r="A3457" s="1" t="s">
        <v>3109</v>
      </c>
      <c r="B3457" s="1" t="str">
        <f>IFERROR(__xludf.DUMMYFUNCTION("GOOGLETRANSLATE(A3383, ""zh-CN"", ""en"")"),"Beijing")</f>
        <v>Beijing</v>
      </c>
      <c r="C3457" s="1" t="s">
        <v>3115</v>
      </c>
      <c r="D3457" s="1" t="str">
        <f>IFERROR(__xludf.DUMMYFUNCTION("GOOGLETRANSLATE(C3457, ""zh-CN"", ""en"")"),"Dandong City")</f>
        <v>Dandong City</v>
      </c>
      <c r="E3457" s="1" t="s">
        <v>3163</v>
      </c>
      <c r="F3457" s="1" t="str">
        <f>IFERROR(__xludf.DUMMYFUNCTION("GOOGLETRANSLATE(E3457, ""zh-CN"", ""en"")"),"Yuanbao District")</f>
        <v>Yuanbao District</v>
      </c>
      <c r="G3457" s="1">
        <v>2.10602E11</v>
      </c>
    </row>
    <row r="3458">
      <c r="A3458" s="1" t="s">
        <v>3109</v>
      </c>
      <c r="B3458" s="1" t="str">
        <f>IFERROR(__xludf.DUMMYFUNCTION("GOOGLETRANSLATE(A3384, ""zh-CN"", ""en"")"),"Beijing")</f>
        <v>Beijing</v>
      </c>
      <c r="C3458" s="1" t="s">
        <v>3115</v>
      </c>
      <c r="D3458" s="1" t="str">
        <f>IFERROR(__xludf.DUMMYFUNCTION("GOOGLETRANSLATE(C3458, ""zh-CN"", ""en"")"),"Dandong City")</f>
        <v>Dandong City</v>
      </c>
      <c r="E3458" s="1" t="s">
        <v>3164</v>
      </c>
      <c r="F3458" s="1" t="str">
        <f>IFERROR(__xludf.DUMMYFUNCTION("GOOGLETRANSLATE(E3458, ""zh-CN"", ""en"")"),"Revitalize area")</f>
        <v>Revitalize area</v>
      </c>
      <c r="G3458" s="1">
        <v>2.10603E11</v>
      </c>
    </row>
    <row r="3459">
      <c r="A3459" s="1" t="s">
        <v>3109</v>
      </c>
      <c r="B3459" s="1" t="str">
        <f>IFERROR(__xludf.DUMMYFUNCTION("GOOGLETRANSLATE(A3385, ""zh-CN"", ""en"")"),"Beijing")</f>
        <v>Beijing</v>
      </c>
      <c r="C3459" s="1" t="s">
        <v>3115</v>
      </c>
      <c r="D3459" s="1" t="str">
        <f>IFERROR(__xludf.DUMMYFUNCTION("GOOGLETRANSLATE(C3459, ""zh-CN"", ""en"")"),"Dandong City")</f>
        <v>Dandong City</v>
      </c>
      <c r="E3459" s="1" t="s">
        <v>3165</v>
      </c>
      <c r="F3459" s="1" t="str">
        <f>IFERROR(__xludf.DUMMYFUNCTION("GOOGLETRANSLATE(E3459, ""zh-CN"", ""en"")"),"Zhen'an District")</f>
        <v>Zhen'an District</v>
      </c>
      <c r="G3459" s="1">
        <v>2.10604E11</v>
      </c>
    </row>
    <row r="3460">
      <c r="A3460" s="1" t="s">
        <v>3109</v>
      </c>
      <c r="B3460" s="1" t="str">
        <f>IFERROR(__xludf.DUMMYFUNCTION("GOOGLETRANSLATE(A3386, ""zh-CN"", ""en"")"),"Beijing")</f>
        <v>Beijing</v>
      </c>
      <c r="C3460" s="1" t="s">
        <v>3115</v>
      </c>
      <c r="D3460" s="1" t="str">
        <f>IFERROR(__xludf.DUMMYFUNCTION("GOOGLETRANSLATE(C3460, ""zh-CN"", ""en"")"),"Dandong City")</f>
        <v>Dandong City</v>
      </c>
      <c r="E3460" s="1" t="s">
        <v>3166</v>
      </c>
      <c r="F3460" s="1" t="str">
        <f>IFERROR(__xludf.DUMMYFUNCTION("GOOGLETRANSLATE(E3460, ""zh-CN"", ""en"")"),"Kuandian Manchu Autonomous County")</f>
        <v>Kuandian Manchu Autonomous County</v>
      </c>
      <c r="G3460" s="1">
        <v>2.10624E11</v>
      </c>
    </row>
    <row r="3461">
      <c r="A3461" s="1" t="s">
        <v>3109</v>
      </c>
      <c r="B3461" s="1" t="str">
        <f>IFERROR(__xludf.DUMMYFUNCTION("GOOGLETRANSLATE(A3387, ""zh-CN"", ""en"")"),"Beijing")</f>
        <v>Beijing</v>
      </c>
      <c r="C3461" s="1" t="s">
        <v>3115</v>
      </c>
      <c r="D3461" s="1" t="str">
        <f>IFERROR(__xludf.DUMMYFUNCTION("GOOGLETRANSLATE(C3461, ""zh-CN"", ""en"")"),"Dandong City")</f>
        <v>Dandong City</v>
      </c>
      <c r="E3461" s="1" t="s">
        <v>3167</v>
      </c>
      <c r="F3461" s="1" t="str">
        <f>IFERROR(__xludf.DUMMYFUNCTION("GOOGLETRANSLATE(E3461, ""zh-CN"", ""en"")"),"Donggang City")</f>
        <v>Donggang City</v>
      </c>
      <c r="G3461" s="1">
        <v>2.10681E11</v>
      </c>
    </row>
    <row r="3462">
      <c r="A3462" s="1" t="s">
        <v>3109</v>
      </c>
      <c r="B3462" s="1" t="str">
        <f>IFERROR(__xludf.DUMMYFUNCTION("GOOGLETRANSLATE(A3388, ""zh-CN"", ""en"")"),"Beijing")</f>
        <v>Beijing</v>
      </c>
      <c r="C3462" s="1" t="s">
        <v>3115</v>
      </c>
      <c r="D3462" s="1" t="str">
        <f>IFERROR(__xludf.DUMMYFUNCTION("GOOGLETRANSLATE(C3462, ""zh-CN"", ""en"")"),"Dandong City")</f>
        <v>Dandong City</v>
      </c>
      <c r="E3462" s="1" t="s">
        <v>3168</v>
      </c>
      <c r="F3462" s="1" t="str">
        <f>IFERROR(__xludf.DUMMYFUNCTION("GOOGLETRANSLATE(E3462, ""zh-CN"", ""en"")"),"Phoenix")</f>
        <v>Phoenix</v>
      </c>
      <c r="G3462" s="1">
        <v>2.10682E11</v>
      </c>
    </row>
    <row r="3463">
      <c r="A3463" s="1" t="s">
        <v>3109</v>
      </c>
      <c r="B3463" s="1" t="str">
        <f>IFERROR(__xludf.DUMMYFUNCTION("GOOGLETRANSLATE(A3389, ""zh-CN"", ""en"")"),"Beijing")</f>
        <v>Beijing</v>
      </c>
      <c r="C3463" s="1" t="s">
        <v>3116</v>
      </c>
      <c r="D3463" s="1" t="str">
        <f>IFERROR(__xludf.DUMMYFUNCTION("GOOGLETRANSLATE(C3463, ""zh-CN"", ""en"")"),"Jinzhou")</f>
        <v>Jinzhou</v>
      </c>
      <c r="E3463" s="1" t="s">
        <v>24</v>
      </c>
      <c r="F3463" s="1" t="str">
        <f>IFERROR(__xludf.DUMMYFUNCTION("GOOGLETRANSLATE(E3463, ""zh-CN"", ""en"")"),"City area")</f>
        <v>City area</v>
      </c>
      <c r="G3463" s="1">
        <v>2.10701E11</v>
      </c>
    </row>
    <row r="3464">
      <c r="A3464" s="1" t="s">
        <v>3109</v>
      </c>
      <c r="B3464" s="1" t="str">
        <f>IFERROR(__xludf.DUMMYFUNCTION("GOOGLETRANSLATE(A3390, ""zh-CN"", ""en"")"),"Beijing")</f>
        <v>Beijing</v>
      </c>
      <c r="C3464" s="1" t="s">
        <v>3116</v>
      </c>
      <c r="D3464" s="1" t="str">
        <f>IFERROR(__xludf.DUMMYFUNCTION("GOOGLETRANSLATE(C3464, ""zh-CN"", ""en"")"),"Jinzhou")</f>
        <v>Jinzhou</v>
      </c>
      <c r="E3464" s="1" t="s">
        <v>3169</v>
      </c>
      <c r="F3464" s="1" t="str">
        <f>IFERROR(__xludf.DUMMYFUNCTION("GOOGLETRANSLATE(E3464, ""zh-CN"", ""en"")"),"Ancient tower area")</f>
        <v>Ancient tower area</v>
      </c>
      <c r="G3464" s="1">
        <v>2.10702E11</v>
      </c>
    </row>
    <row r="3465">
      <c r="A3465" s="1" t="s">
        <v>3109</v>
      </c>
      <c r="B3465" s="1" t="str">
        <f>IFERROR(__xludf.DUMMYFUNCTION("GOOGLETRANSLATE(A3391, ""zh-CN"", ""en"")"),"Beijing")</f>
        <v>Beijing</v>
      </c>
      <c r="C3465" s="1" t="s">
        <v>3116</v>
      </c>
      <c r="D3465" s="1" t="str">
        <f>IFERROR(__xludf.DUMMYFUNCTION("GOOGLETRANSLATE(C3465, ""zh-CN"", ""en"")"),"Jinzhou")</f>
        <v>Jinzhou</v>
      </c>
      <c r="E3465" s="1" t="s">
        <v>3170</v>
      </c>
      <c r="F3465" s="1" t="str">
        <f>IFERROR(__xludf.DUMMYFUNCTION("GOOGLETRANSLATE(E3465, ""zh-CN"", ""en"")"),"Linghe District")</f>
        <v>Linghe District</v>
      </c>
      <c r="G3465" s="1">
        <v>2.10703E11</v>
      </c>
    </row>
    <row r="3466">
      <c r="A3466" s="1" t="s">
        <v>3109</v>
      </c>
      <c r="B3466" s="1" t="str">
        <f>IFERROR(__xludf.DUMMYFUNCTION("GOOGLETRANSLATE(A3392, ""zh-CN"", ""en"")"),"Beijing")</f>
        <v>Beijing</v>
      </c>
      <c r="C3466" s="1" t="s">
        <v>3116</v>
      </c>
      <c r="D3466" s="1" t="str">
        <f>IFERROR(__xludf.DUMMYFUNCTION("GOOGLETRANSLATE(C3466, ""zh-CN"", ""en"")"),"Jinzhou")</f>
        <v>Jinzhou</v>
      </c>
      <c r="E3466" s="1" t="s">
        <v>3171</v>
      </c>
      <c r="F3466" s="1" t="str">
        <f>IFERROR(__xludf.DUMMYFUNCTION("GOOGLETRANSLATE(E3466, ""zh-CN"", ""en"")"),"Taihe District")</f>
        <v>Taihe District</v>
      </c>
      <c r="G3466" s="1">
        <v>2.10711E11</v>
      </c>
    </row>
    <row r="3467">
      <c r="A3467" s="1" t="s">
        <v>3109</v>
      </c>
      <c r="B3467" s="1" t="str">
        <f>IFERROR(__xludf.DUMMYFUNCTION("GOOGLETRANSLATE(A3393, ""zh-CN"", ""en"")"),"Liaoning Province")</f>
        <v>Liaoning Province</v>
      </c>
      <c r="C3467" s="1" t="s">
        <v>3116</v>
      </c>
      <c r="D3467" s="1" t="str">
        <f>IFERROR(__xludf.DUMMYFUNCTION("GOOGLETRANSLATE(C3467, ""zh-CN"", ""en"")"),"Jinzhou")</f>
        <v>Jinzhou</v>
      </c>
      <c r="E3467" s="1" t="s">
        <v>3172</v>
      </c>
      <c r="F3467" s="1" t="str">
        <f>IFERROR(__xludf.DUMMYFUNCTION("GOOGLETRANSLATE(E3467, ""zh-CN"", ""en"")"),"Heishan County")</f>
        <v>Heishan County</v>
      </c>
      <c r="G3467" s="1">
        <v>2.10726E11</v>
      </c>
    </row>
    <row r="3468">
      <c r="A3468" s="1" t="s">
        <v>3109</v>
      </c>
      <c r="B3468" s="1" t="str">
        <f>IFERROR(__xludf.DUMMYFUNCTION("GOOGLETRANSLATE(A3394, ""zh-CN"", ""en"")"),"Liaoning Province")</f>
        <v>Liaoning Province</v>
      </c>
      <c r="C3468" s="1" t="s">
        <v>3116</v>
      </c>
      <c r="D3468" s="1" t="str">
        <f>IFERROR(__xludf.DUMMYFUNCTION("GOOGLETRANSLATE(C3468, ""zh-CN"", ""en"")"),"Jinzhou")</f>
        <v>Jinzhou</v>
      </c>
      <c r="E3468" s="1" t="s">
        <v>3173</v>
      </c>
      <c r="F3468" s="1" t="str">
        <f>IFERROR(__xludf.DUMMYFUNCTION("GOOGLETRANSLATE(E3468, ""zh-CN"", ""en"")"),"Righteous county")</f>
        <v>Righteous county</v>
      </c>
      <c r="G3468" s="1">
        <v>2.10727E11</v>
      </c>
    </row>
    <row r="3469">
      <c r="A3469" s="1" t="s">
        <v>3109</v>
      </c>
      <c r="B3469" s="1" t="str">
        <f>IFERROR(__xludf.DUMMYFUNCTION("GOOGLETRANSLATE(A3395, ""zh-CN"", ""en"")"),"Liaoning Province")</f>
        <v>Liaoning Province</v>
      </c>
      <c r="C3469" s="1" t="s">
        <v>3116</v>
      </c>
      <c r="D3469" s="1" t="str">
        <f>IFERROR(__xludf.DUMMYFUNCTION("GOOGLETRANSLATE(C3469, ""zh-CN"", ""en"")"),"Jinzhou")</f>
        <v>Jinzhou</v>
      </c>
      <c r="E3469" s="1" t="s">
        <v>3174</v>
      </c>
      <c r="F3469" s="1" t="str">
        <f>IFERROR(__xludf.DUMMYFUNCTION("GOOGLETRANSLATE(E3469, ""zh-CN"", ""en"")"),"Linghai City")</f>
        <v>Linghai City</v>
      </c>
      <c r="G3469" s="1">
        <v>2.10781E11</v>
      </c>
    </row>
    <row r="3470">
      <c r="A3470" s="1" t="s">
        <v>3109</v>
      </c>
      <c r="B3470" s="1" t="str">
        <f>IFERROR(__xludf.DUMMYFUNCTION("GOOGLETRANSLATE(A3396, ""zh-CN"", ""en"")"),"Liaoning Province")</f>
        <v>Liaoning Province</v>
      </c>
      <c r="C3470" s="1" t="s">
        <v>3116</v>
      </c>
      <c r="D3470" s="1" t="str">
        <f>IFERROR(__xludf.DUMMYFUNCTION("GOOGLETRANSLATE(C3470, ""zh-CN"", ""en"")"),"Jinzhou")</f>
        <v>Jinzhou</v>
      </c>
      <c r="E3470" s="1" t="s">
        <v>3175</v>
      </c>
      <c r="F3470" s="1" t="str">
        <f>IFERROR(__xludf.DUMMYFUNCTION("GOOGLETRANSLATE(E3470, ""zh-CN"", ""en"")"),"North Town")</f>
        <v>North Town</v>
      </c>
      <c r="G3470" s="1">
        <v>2.10782E11</v>
      </c>
    </row>
    <row r="3471">
      <c r="A3471" s="1" t="s">
        <v>3109</v>
      </c>
      <c r="B3471" s="1" t="str">
        <f>IFERROR(__xludf.DUMMYFUNCTION("GOOGLETRANSLATE(A3397, ""zh-CN"", ""en"")"),"Liaoning Province")</f>
        <v>Liaoning Province</v>
      </c>
      <c r="C3471" s="1" t="s">
        <v>3117</v>
      </c>
      <c r="D3471" s="1" t="str">
        <f>IFERROR(__xludf.DUMMYFUNCTION("GOOGLETRANSLATE(C3471, ""zh-CN"", ""en"")"),"Yingkou City")</f>
        <v>Yingkou City</v>
      </c>
      <c r="E3471" s="1" t="s">
        <v>24</v>
      </c>
      <c r="F3471" s="1" t="str">
        <f>IFERROR(__xludf.DUMMYFUNCTION("GOOGLETRANSLATE(E3471, ""zh-CN"", ""en"")"),"City area")</f>
        <v>City area</v>
      </c>
      <c r="G3471" s="1">
        <v>2.10801E11</v>
      </c>
    </row>
    <row r="3472">
      <c r="A3472" s="1" t="s">
        <v>3109</v>
      </c>
      <c r="B3472" s="1" t="str">
        <f>IFERROR(__xludf.DUMMYFUNCTION("GOOGLETRANSLATE(A3398, ""zh-CN"", ""en"")"),"Liaoning Province")</f>
        <v>Liaoning Province</v>
      </c>
      <c r="C3472" s="1" t="s">
        <v>3117</v>
      </c>
      <c r="D3472" s="1" t="str">
        <f>IFERROR(__xludf.DUMMYFUNCTION("GOOGLETRANSLATE(C3472, ""zh-CN"", ""en"")"),"Yingkou City")</f>
        <v>Yingkou City</v>
      </c>
      <c r="E3472" s="1" t="s">
        <v>3176</v>
      </c>
      <c r="F3472" s="1" t="str">
        <f>IFERROR(__xludf.DUMMYFUNCTION("GOOGLETRANSLATE(E3472, ""zh-CN"", ""en"")"),"Station area")</f>
        <v>Station area</v>
      </c>
      <c r="G3472" s="1">
        <v>2.10802E11</v>
      </c>
    </row>
    <row r="3473">
      <c r="A3473" s="1" t="s">
        <v>3109</v>
      </c>
      <c r="B3473" s="1" t="str">
        <f>IFERROR(__xludf.DUMMYFUNCTION("GOOGLETRANSLATE(A3399, ""zh-CN"", ""en"")"),"Liaoning Province")</f>
        <v>Liaoning Province</v>
      </c>
      <c r="C3473" s="1" t="s">
        <v>3117</v>
      </c>
      <c r="D3473" s="1" t="str">
        <f>IFERROR(__xludf.DUMMYFUNCTION("GOOGLETRANSLATE(C3473, ""zh-CN"", ""en"")"),"Yingkou City")</f>
        <v>Yingkou City</v>
      </c>
      <c r="E3473" s="1" t="s">
        <v>3177</v>
      </c>
      <c r="F3473" s="1" t="str">
        <f>IFERROR(__xludf.DUMMYFUNCTION("GOOGLETRANSLATE(E3473, ""zh-CN"", ""en"")"),"West City")</f>
        <v>West City</v>
      </c>
      <c r="G3473" s="1">
        <v>2.10803E11</v>
      </c>
    </row>
    <row r="3474">
      <c r="A3474" s="1" t="s">
        <v>3109</v>
      </c>
      <c r="B3474" s="1" t="str">
        <f>IFERROR(__xludf.DUMMYFUNCTION("GOOGLETRANSLATE(A3400, ""zh-CN"", ""en"")"),"Liaoning Province")</f>
        <v>Liaoning Province</v>
      </c>
      <c r="C3474" s="1" t="s">
        <v>3117</v>
      </c>
      <c r="D3474" s="1" t="str">
        <f>IFERROR(__xludf.DUMMYFUNCTION("GOOGLETRANSLATE(C3474, ""zh-CN"", ""en"")"),"Yingkou City")</f>
        <v>Yingkou City</v>
      </c>
      <c r="E3474" s="1" t="s">
        <v>3178</v>
      </c>
      <c r="F3474" s="1" t="str">
        <f>IFERROR(__xludf.DUMMYFUNCTION("GOOGLETRANSLATE(E3474, ""zh-CN"", ""en"")"),"Bayu circle area")</f>
        <v>Bayu circle area</v>
      </c>
      <c r="G3474" s="1">
        <v>2.10804E11</v>
      </c>
    </row>
    <row r="3475">
      <c r="A3475" s="1" t="s">
        <v>3109</v>
      </c>
      <c r="B3475" s="1" t="str">
        <f>IFERROR(__xludf.DUMMYFUNCTION("GOOGLETRANSLATE(A3401, ""zh-CN"", ""en"")"),"Liaoning Province")</f>
        <v>Liaoning Province</v>
      </c>
      <c r="C3475" s="1" t="s">
        <v>3117</v>
      </c>
      <c r="D3475" s="1" t="str">
        <f>IFERROR(__xludf.DUMMYFUNCTION("GOOGLETRANSLATE(C3475, ""zh-CN"", ""en"")"),"Yingkou City")</f>
        <v>Yingkou City</v>
      </c>
      <c r="E3475" s="1" t="s">
        <v>3179</v>
      </c>
      <c r="F3475" s="1" t="str">
        <f>IFERROR(__xludf.DUMMYFUNCTION("GOOGLETRANSLATE(E3475, ""zh-CN"", ""en"")"),"Old border area")</f>
        <v>Old border area</v>
      </c>
      <c r="G3475" s="1">
        <v>2.10811E11</v>
      </c>
    </row>
    <row r="3476">
      <c r="A3476" s="1" t="s">
        <v>3109</v>
      </c>
      <c r="B3476" s="1" t="str">
        <f>IFERROR(__xludf.DUMMYFUNCTION("GOOGLETRANSLATE(A3402, ""zh-CN"", ""en"")"),"Liaoning Province")</f>
        <v>Liaoning Province</v>
      </c>
      <c r="C3476" s="1" t="s">
        <v>3117</v>
      </c>
      <c r="D3476" s="1" t="str">
        <f>IFERROR(__xludf.DUMMYFUNCTION("GOOGLETRANSLATE(C3476, ""zh-CN"", ""en"")"),"Yingkou City")</f>
        <v>Yingkou City</v>
      </c>
      <c r="E3476" s="1" t="s">
        <v>3180</v>
      </c>
      <c r="F3476" s="1" t="str">
        <f>IFERROR(__xludf.DUMMYFUNCTION("GOOGLETRANSLATE(E3476, ""zh-CN"", ""en"")"),"Gaizhou")</f>
        <v>Gaizhou</v>
      </c>
      <c r="G3476" s="1">
        <v>2.10881E11</v>
      </c>
    </row>
    <row r="3477">
      <c r="A3477" s="1" t="s">
        <v>3109</v>
      </c>
      <c r="B3477" s="1" t="str">
        <f>IFERROR(__xludf.DUMMYFUNCTION("GOOGLETRANSLATE(A3403, ""zh-CN"", ""en"")"),"Liaoning Province")</f>
        <v>Liaoning Province</v>
      </c>
      <c r="C3477" s="1" t="s">
        <v>3117</v>
      </c>
      <c r="D3477" s="1" t="str">
        <f>IFERROR(__xludf.DUMMYFUNCTION("GOOGLETRANSLATE(C3477, ""zh-CN"", ""en"")"),"Yingkou City")</f>
        <v>Yingkou City</v>
      </c>
      <c r="E3477" s="1" t="s">
        <v>3181</v>
      </c>
      <c r="F3477" s="1" t="str">
        <f>IFERROR(__xludf.DUMMYFUNCTION("GOOGLETRANSLATE(E3477, ""zh-CN"", ""en"")"),"Dashiqiao City")</f>
        <v>Dashiqiao City</v>
      </c>
      <c r="G3477" s="1">
        <v>2.10882E11</v>
      </c>
    </row>
    <row r="3478">
      <c r="A3478" s="1" t="s">
        <v>3109</v>
      </c>
      <c r="B3478" s="1" t="str">
        <f>IFERROR(__xludf.DUMMYFUNCTION("GOOGLETRANSLATE(A3404, ""zh-CN"", ""en"")"),"Liaoning Province")</f>
        <v>Liaoning Province</v>
      </c>
      <c r="C3478" s="1" t="s">
        <v>3118</v>
      </c>
      <c r="D3478" s="1" t="str">
        <f>IFERROR(__xludf.DUMMYFUNCTION("GOOGLETRANSLATE(C3478, ""zh-CN"", ""en"")"),"Fuxin City")</f>
        <v>Fuxin City</v>
      </c>
      <c r="E3478" s="1" t="s">
        <v>24</v>
      </c>
      <c r="F3478" s="1" t="str">
        <f>IFERROR(__xludf.DUMMYFUNCTION("GOOGLETRANSLATE(E3478, ""zh-CN"", ""en"")"),"City area")</f>
        <v>City area</v>
      </c>
      <c r="G3478" s="1">
        <v>2.10901E11</v>
      </c>
    </row>
    <row r="3479">
      <c r="A3479" s="1" t="s">
        <v>3109</v>
      </c>
      <c r="B3479" s="1" t="str">
        <f>IFERROR(__xludf.DUMMYFUNCTION("GOOGLETRANSLATE(A3405, ""zh-CN"", ""en"")"),"Liaoning Province")</f>
        <v>Liaoning Province</v>
      </c>
      <c r="C3479" s="1" t="s">
        <v>3118</v>
      </c>
      <c r="D3479" s="1" t="str">
        <f>IFERROR(__xludf.DUMMYFUNCTION("GOOGLETRANSLATE(C3479, ""zh-CN"", ""en"")"),"Fuxin City")</f>
        <v>Fuxin City</v>
      </c>
      <c r="E3479" s="1" t="s">
        <v>1760</v>
      </c>
      <c r="F3479" s="1" t="str">
        <f>IFERROR(__xludf.DUMMYFUNCTION("GOOGLETRANSLATE(E3479, ""zh-CN"", ""en"")"),"Haizhou District")</f>
        <v>Haizhou District</v>
      </c>
      <c r="G3479" s="1">
        <v>2.10902E11</v>
      </c>
    </row>
    <row r="3480">
      <c r="A3480" s="1" t="s">
        <v>3109</v>
      </c>
      <c r="B3480" s="1" t="str">
        <f>IFERROR(__xludf.DUMMYFUNCTION("GOOGLETRANSLATE(A3406, ""zh-CN"", ""en"")"),"Liaoning Province")</f>
        <v>Liaoning Province</v>
      </c>
      <c r="C3480" s="1" t="s">
        <v>3118</v>
      </c>
      <c r="D3480" s="1" t="str">
        <f>IFERROR(__xludf.DUMMYFUNCTION("GOOGLETRANSLATE(C3480, ""zh-CN"", ""en"")"),"Fuxin City")</f>
        <v>Fuxin City</v>
      </c>
      <c r="E3480" s="1" t="s">
        <v>3182</v>
      </c>
      <c r="F3480" s="1" t="str">
        <f>IFERROR(__xludf.DUMMYFUNCTION("GOOGLETRANSLATE(E3480, ""zh-CN"", ""en"")"),"Xinqiu District")</f>
        <v>Xinqiu District</v>
      </c>
      <c r="G3480" s="1">
        <v>2.10903E11</v>
      </c>
    </row>
    <row r="3481">
      <c r="A3481" s="1" t="s">
        <v>3109</v>
      </c>
      <c r="B3481" s="1" t="str">
        <f>IFERROR(__xludf.DUMMYFUNCTION("GOOGLETRANSLATE(A3407, ""zh-CN"", ""en"")"),"Liaoning Province")</f>
        <v>Liaoning Province</v>
      </c>
      <c r="C3481" s="1" t="s">
        <v>3118</v>
      </c>
      <c r="D3481" s="1" t="str">
        <f>IFERROR(__xludf.DUMMYFUNCTION("GOOGLETRANSLATE(C3481, ""zh-CN"", ""en"")"),"Fuxin City")</f>
        <v>Fuxin City</v>
      </c>
      <c r="E3481" s="1" t="s">
        <v>3183</v>
      </c>
      <c r="F3481" s="1" t="str">
        <f>IFERROR(__xludf.DUMMYFUNCTION("GOOGLETRANSLATE(E3481, ""zh-CN"", ""en"")"),"Taiping District")</f>
        <v>Taiping District</v>
      </c>
      <c r="G3481" s="1">
        <v>2.10904E11</v>
      </c>
    </row>
    <row r="3482">
      <c r="A3482" s="1" t="s">
        <v>3109</v>
      </c>
      <c r="B3482" s="1" t="str">
        <f>IFERROR(__xludf.DUMMYFUNCTION("GOOGLETRANSLATE(A3408, ""zh-CN"", ""en"")"),"Liaoning Province")</f>
        <v>Liaoning Province</v>
      </c>
      <c r="C3482" s="1" t="s">
        <v>3118</v>
      </c>
      <c r="D3482" s="1" t="str">
        <f>IFERROR(__xludf.DUMMYFUNCTION("GOOGLETRANSLATE(C3482, ""zh-CN"", ""en"")"),"Fuxin City")</f>
        <v>Fuxin City</v>
      </c>
      <c r="E3482" s="1" t="s">
        <v>3184</v>
      </c>
      <c r="F3482" s="1" t="str">
        <f>IFERROR(__xludf.DUMMYFUNCTION("GOOGLETRANSLATE(E3482, ""zh-CN"", ""en"")"),"Qinghemen District")</f>
        <v>Qinghemen District</v>
      </c>
      <c r="G3482" s="1">
        <v>2.10905E11</v>
      </c>
    </row>
    <row r="3483">
      <c r="A3483" s="1" t="s">
        <v>3109</v>
      </c>
      <c r="B3483" s="1" t="str">
        <f>IFERROR(__xludf.DUMMYFUNCTION("GOOGLETRANSLATE(A3409, ""zh-CN"", ""en"")"),"Liaoning Province")</f>
        <v>Liaoning Province</v>
      </c>
      <c r="C3483" s="1" t="s">
        <v>3118</v>
      </c>
      <c r="D3483" s="1" t="str">
        <f>IFERROR(__xludf.DUMMYFUNCTION("GOOGLETRANSLATE(C3483, ""zh-CN"", ""en"")"),"Fuxin City")</f>
        <v>Fuxin City</v>
      </c>
      <c r="E3483" s="1" t="s">
        <v>3185</v>
      </c>
      <c r="F3483" s="1" t="str">
        <f>IFERROR(__xludf.DUMMYFUNCTION("GOOGLETRANSLATE(E3483, ""zh-CN"", ""en"")"),"Xixia District")</f>
        <v>Xixia District</v>
      </c>
      <c r="G3483" s="1">
        <v>2.10911E11</v>
      </c>
    </row>
    <row r="3484">
      <c r="A3484" s="1" t="s">
        <v>3109</v>
      </c>
      <c r="B3484" s="1" t="str">
        <f>IFERROR(__xludf.DUMMYFUNCTION("GOOGLETRANSLATE(A3410, ""zh-CN"", ""en"")"),"Liaoning Province")</f>
        <v>Liaoning Province</v>
      </c>
      <c r="C3484" s="1" t="s">
        <v>3118</v>
      </c>
      <c r="D3484" s="1" t="str">
        <f>IFERROR(__xludf.DUMMYFUNCTION("GOOGLETRANSLATE(C3484, ""zh-CN"", ""en"")"),"Fuxin City")</f>
        <v>Fuxin City</v>
      </c>
      <c r="E3484" s="1" t="s">
        <v>3186</v>
      </c>
      <c r="F3484" s="1" t="str">
        <f>IFERROR(__xludf.DUMMYFUNCTION("GOOGLETRANSLATE(E3484, ""zh-CN"", ""en"")"),"Fuxin Mongolian Autonomous County")</f>
        <v>Fuxin Mongolian Autonomous County</v>
      </c>
      <c r="G3484" s="1">
        <v>2.10921E11</v>
      </c>
    </row>
    <row r="3485">
      <c r="A3485" s="1" t="s">
        <v>3109</v>
      </c>
      <c r="B3485" s="1" t="str">
        <f>IFERROR(__xludf.DUMMYFUNCTION("GOOGLETRANSLATE(A3411, ""zh-CN"", ""en"")"),"Liaoning Province")</f>
        <v>Liaoning Province</v>
      </c>
      <c r="C3485" s="1" t="s">
        <v>3118</v>
      </c>
      <c r="D3485" s="1" t="str">
        <f>IFERROR(__xludf.DUMMYFUNCTION("GOOGLETRANSLATE(C3485, ""zh-CN"", ""en"")"),"Fuxin City")</f>
        <v>Fuxin City</v>
      </c>
      <c r="E3485" s="1" t="s">
        <v>3187</v>
      </c>
      <c r="F3485" s="1" t="str">
        <f>IFERROR(__xludf.DUMMYFUNCTION("GOOGLETRANSLATE(E3485, ""zh-CN"", ""en"")"),"Zhangwu County")</f>
        <v>Zhangwu County</v>
      </c>
      <c r="G3485" s="1">
        <v>2.10922E11</v>
      </c>
    </row>
    <row r="3486">
      <c r="A3486" s="1" t="s">
        <v>3109</v>
      </c>
      <c r="B3486" s="1" t="str">
        <f>IFERROR(__xludf.DUMMYFUNCTION("GOOGLETRANSLATE(A3412, ""zh-CN"", ""en"")"),"Liaoning Province")</f>
        <v>Liaoning Province</v>
      </c>
      <c r="C3486" s="1" t="s">
        <v>3119</v>
      </c>
      <c r="D3486" s="1" t="str">
        <f>IFERROR(__xludf.DUMMYFUNCTION("GOOGLETRANSLATE(C3486, ""zh-CN"", ""en"")"),"Liaoyang City")</f>
        <v>Liaoyang City</v>
      </c>
      <c r="E3486" s="1" t="s">
        <v>24</v>
      </c>
      <c r="F3486" s="1" t="str">
        <f>IFERROR(__xludf.DUMMYFUNCTION("GOOGLETRANSLATE(E3486, ""zh-CN"", ""en"")"),"City area")</f>
        <v>City area</v>
      </c>
      <c r="G3486" s="1">
        <v>2.11001E11</v>
      </c>
    </row>
    <row r="3487">
      <c r="A3487" s="1" t="s">
        <v>3109</v>
      </c>
      <c r="B3487" s="1" t="str">
        <f>IFERROR(__xludf.DUMMYFUNCTION("GOOGLETRANSLATE(A3413, ""zh-CN"", ""en"")"),"Liaoning Province")</f>
        <v>Liaoning Province</v>
      </c>
      <c r="C3487" s="1" t="s">
        <v>3119</v>
      </c>
      <c r="D3487" s="1" t="str">
        <f>IFERROR(__xludf.DUMMYFUNCTION("GOOGLETRANSLATE(C3487, ""zh-CN"", ""en"")"),"Liaoyang City")</f>
        <v>Liaoyang City</v>
      </c>
      <c r="E3487" s="1" t="s">
        <v>3188</v>
      </c>
      <c r="F3487" s="1" t="str">
        <f>IFERROR(__xludf.DUMMYFUNCTION("GOOGLETRANSLATE(E3487, ""zh-CN"", ""en"")"),"White tower area")</f>
        <v>White tower area</v>
      </c>
      <c r="G3487" s="1">
        <v>2.11002E11</v>
      </c>
    </row>
    <row r="3488">
      <c r="A3488" s="1" t="s">
        <v>3109</v>
      </c>
      <c r="B3488" s="1" t="str">
        <f>IFERROR(__xludf.DUMMYFUNCTION("GOOGLETRANSLATE(A3414, ""zh-CN"", ""en"")"),"Liaoning Province")</f>
        <v>Liaoning Province</v>
      </c>
      <c r="C3488" s="1" t="s">
        <v>3119</v>
      </c>
      <c r="D3488" s="1" t="str">
        <f>IFERROR(__xludf.DUMMYFUNCTION("GOOGLETRANSLATE(C3488, ""zh-CN"", ""en"")"),"Liaoyang City")</f>
        <v>Liaoyang City</v>
      </c>
      <c r="E3488" s="1" t="s">
        <v>3189</v>
      </c>
      <c r="F3488" s="1" t="str">
        <f>IFERROR(__xludf.DUMMYFUNCTION("GOOGLETRANSLATE(E3488, ""zh-CN"", ""en"")"),"Wen Sheng District")</f>
        <v>Wen Sheng District</v>
      </c>
      <c r="G3488" s="1">
        <v>2.11003E11</v>
      </c>
    </row>
    <row r="3489">
      <c r="A3489" s="1" t="s">
        <v>3109</v>
      </c>
      <c r="B3489" s="1" t="str">
        <f>IFERROR(__xludf.DUMMYFUNCTION("GOOGLETRANSLATE(A3415, ""zh-CN"", ""en"")"),"Liaoning Province")</f>
        <v>Liaoning Province</v>
      </c>
      <c r="C3489" s="1" t="s">
        <v>3119</v>
      </c>
      <c r="D3489" s="1" t="str">
        <f>IFERROR(__xludf.DUMMYFUNCTION("GOOGLETRANSLATE(C3489, ""zh-CN"", ""en"")"),"Liaoyang City")</f>
        <v>Liaoyang City</v>
      </c>
      <c r="E3489" s="1" t="s">
        <v>3190</v>
      </c>
      <c r="F3489" s="1" t="str">
        <f>IFERROR(__xludf.DUMMYFUNCTION("GOOGLETRANSLATE(E3489, ""zh-CN"", ""en"")"),"Hongwei District")</f>
        <v>Hongwei District</v>
      </c>
      <c r="G3489" s="1">
        <v>2.11004E11</v>
      </c>
    </row>
    <row r="3490">
      <c r="A3490" s="1" t="s">
        <v>3109</v>
      </c>
      <c r="B3490" s="1" t="str">
        <f>IFERROR(__xludf.DUMMYFUNCTION("GOOGLETRANSLATE(A3416, ""zh-CN"", ""en"")"),"Liaoning Province")</f>
        <v>Liaoning Province</v>
      </c>
      <c r="C3490" s="1" t="s">
        <v>3119</v>
      </c>
      <c r="D3490" s="1" t="str">
        <f>IFERROR(__xludf.DUMMYFUNCTION("GOOGLETRANSLATE(C3490, ""zh-CN"", ""en"")"),"Liaoyang City")</f>
        <v>Liaoyang City</v>
      </c>
      <c r="E3490" s="1" t="s">
        <v>3191</v>
      </c>
      <c r="F3490" s="1" t="str">
        <f>IFERROR(__xludf.DUMMYFUNCTION("GOOGLETRANSLATE(E3490, ""zh-CN"", ""en"")"),"Gong Changling District")</f>
        <v>Gong Changling District</v>
      </c>
      <c r="G3490" s="1">
        <v>2.11005E11</v>
      </c>
    </row>
    <row r="3491">
      <c r="A3491" s="1" t="s">
        <v>3109</v>
      </c>
      <c r="B3491" s="1" t="str">
        <f>IFERROR(__xludf.DUMMYFUNCTION("GOOGLETRANSLATE(A3417, ""zh-CN"", ""en"")"),"Liaoning Province")</f>
        <v>Liaoning Province</v>
      </c>
      <c r="C3491" s="1" t="s">
        <v>3119</v>
      </c>
      <c r="D3491" s="1" t="str">
        <f>IFERROR(__xludf.DUMMYFUNCTION("GOOGLETRANSLATE(C3491, ""zh-CN"", ""en"")"),"Liaoyang City")</f>
        <v>Liaoyang City</v>
      </c>
      <c r="E3491" s="1" t="s">
        <v>3192</v>
      </c>
      <c r="F3491" s="1" t="str">
        <f>IFERROR(__xludf.DUMMYFUNCTION("GOOGLETRANSLATE(E3491, ""zh-CN"", ""en"")"),"Prince River")</f>
        <v>Prince River</v>
      </c>
      <c r="G3491" s="1">
        <v>2.11011E11</v>
      </c>
    </row>
    <row r="3492">
      <c r="A3492" s="1" t="s">
        <v>3109</v>
      </c>
      <c r="B3492" s="1" t="str">
        <f>IFERROR(__xludf.DUMMYFUNCTION("GOOGLETRANSLATE(A3418, ""zh-CN"", ""en"")"),"Liaoning Province")</f>
        <v>Liaoning Province</v>
      </c>
      <c r="C3492" s="1" t="s">
        <v>3119</v>
      </c>
      <c r="D3492" s="1" t="str">
        <f>IFERROR(__xludf.DUMMYFUNCTION("GOOGLETRANSLATE(C3492, ""zh-CN"", ""en"")"),"Liaoyang City")</f>
        <v>Liaoyang City</v>
      </c>
      <c r="E3492" s="1" t="s">
        <v>3193</v>
      </c>
      <c r="F3492" s="1" t="str">
        <f>IFERROR(__xludf.DUMMYFUNCTION("GOOGLETRANSLATE(E3492, ""zh-CN"", ""en"")"),"Liaoyang County")</f>
        <v>Liaoyang County</v>
      </c>
      <c r="G3492" s="1">
        <v>2.11021E11</v>
      </c>
    </row>
    <row r="3493">
      <c r="A3493" s="1" t="s">
        <v>3109</v>
      </c>
      <c r="B3493" s="1" t="str">
        <f>IFERROR(__xludf.DUMMYFUNCTION("GOOGLETRANSLATE(A3419, ""zh-CN"", ""en"")"),"Liaoning Province")</f>
        <v>Liaoning Province</v>
      </c>
      <c r="C3493" s="1" t="s">
        <v>3119</v>
      </c>
      <c r="D3493" s="1" t="str">
        <f>IFERROR(__xludf.DUMMYFUNCTION("GOOGLETRANSLATE(C3493, ""zh-CN"", ""en"")"),"Liaoyang City")</f>
        <v>Liaoyang City</v>
      </c>
      <c r="E3493" s="1" t="s">
        <v>3194</v>
      </c>
      <c r="F3493" s="1" t="str">
        <f>IFERROR(__xludf.DUMMYFUNCTION("GOOGLETRANSLATE(E3493, ""zh-CN"", ""en"")"),"Lighthouse")</f>
        <v>Lighthouse</v>
      </c>
      <c r="G3493" s="1">
        <v>2.11081E11</v>
      </c>
    </row>
    <row r="3494">
      <c r="A3494" s="1" t="s">
        <v>3109</v>
      </c>
      <c r="B3494" s="1" t="str">
        <f>IFERROR(__xludf.DUMMYFUNCTION("GOOGLETRANSLATE(A3420, ""zh-CN"", ""en"")"),"Liaoning Province")</f>
        <v>Liaoning Province</v>
      </c>
      <c r="C3494" s="1" t="s">
        <v>3120</v>
      </c>
      <c r="D3494" s="1" t="str">
        <f>IFERROR(__xludf.DUMMYFUNCTION("GOOGLETRANSLATE(C3494, ""zh-CN"", ""en"")"),"Panjin City")</f>
        <v>Panjin City</v>
      </c>
      <c r="E3494" s="1" t="s">
        <v>24</v>
      </c>
      <c r="F3494" s="1" t="str">
        <f>IFERROR(__xludf.DUMMYFUNCTION("GOOGLETRANSLATE(E3494, ""zh-CN"", ""en"")"),"City area")</f>
        <v>City area</v>
      </c>
      <c r="G3494" s="1">
        <v>2.11101E11</v>
      </c>
    </row>
    <row r="3495">
      <c r="A3495" s="1" t="s">
        <v>3109</v>
      </c>
      <c r="B3495" s="1" t="str">
        <f>IFERROR(__xludf.DUMMYFUNCTION("GOOGLETRANSLATE(A3421, ""zh-CN"", ""en"")"),"Liaoning Province")</f>
        <v>Liaoning Province</v>
      </c>
      <c r="C3495" s="1" t="s">
        <v>3120</v>
      </c>
      <c r="D3495" s="1" t="str">
        <f>IFERROR(__xludf.DUMMYFUNCTION("GOOGLETRANSLATE(C3495, ""zh-CN"", ""en"")"),"Panjin City")</f>
        <v>Panjin City</v>
      </c>
      <c r="E3495" s="1" t="s">
        <v>3195</v>
      </c>
      <c r="F3495" s="1" t="str">
        <f>IFERROR(__xludf.DUMMYFUNCTION("GOOGLETRANSLATE(E3495, ""zh-CN"", ""en"")"),"Double")</f>
        <v>Double</v>
      </c>
      <c r="G3495" s="1">
        <v>2.11102E11</v>
      </c>
    </row>
    <row r="3496">
      <c r="A3496" s="1" t="s">
        <v>3109</v>
      </c>
      <c r="B3496" s="1" t="str">
        <f>IFERROR(__xludf.DUMMYFUNCTION("GOOGLETRANSLATE(A3422, ""zh-CN"", ""en"")"),"Liaoning Province")</f>
        <v>Liaoning Province</v>
      </c>
      <c r="C3496" s="1" t="s">
        <v>3120</v>
      </c>
      <c r="D3496" s="1" t="str">
        <f>IFERROR(__xludf.DUMMYFUNCTION("GOOGLETRANSLATE(C3496, ""zh-CN"", ""en"")"),"Panjin City")</f>
        <v>Panjin City</v>
      </c>
      <c r="E3496" s="1" t="s">
        <v>3196</v>
      </c>
      <c r="F3496" s="1" t="str">
        <f>IFERROR(__xludf.DUMMYFUNCTION("GOOGLETRANSLATE(E3496, ""zh-CN"", ""en"")"),"Xinglongtai District")</f>
        <v>Xinglongtai District</v>
      </c>
      <c r="G3496" s="1">
        <v>2.11103E11</v>
      </c>
    </row>
    <row r="3497">
      <c r="A3497" s="1" t="s">
        <v>3109</v>
      </c>
      <c r="B3497" s="1" t="str">
        <f>IFERROR(__xludf.DUMMYFUNCTION("GOOGLETRANSLATE(A3423, ""zh-CN"", ""en"")"),"Liaoning Province")</f>
        <v>Liaoning Province</v>
      </c>
      <c r="C3497" s="1" t="s">
        <v>3120</v>
      </c>
      <c r="D3497" s="1" t="str">
        <f>IFERROR(__xludf.DUMMYFUNCTION("GOOGLETRANSLATE(C3497, ""zh-CN"", ""en"")"),"Panjin City")</f>
        <v>Panjin City</v>
      </c>
      <c r="E3497" s="1" t="s">
        <v>3197</v>
      </c>
      <c r="F3497" s="1" t="str">
        <f>IFERROR(__xludf.DUMMYFUNCTION("GOOGLETRANSLATE(E3497, ""zh-CN"", ""en"")"),"Dawa District")</f>
        <v>Dawa District</v>
      </c>
      <c r="G3497" s="1">
        <v>2.11104E11</v>
      </c>
    </row>
    <row r="3498">
      <c r="A3498" s="1" t="s">
        <v>3109</v>
      </c>
      <c r="B3498" s="1" t="str">
        <f>IFERROR(__xludf.DUMMYFUNCTION("GOOGLETRANSLATE(A3424, ""zh-CN"", ""en"")"),"Liaoning Province")</f>
        <v>Liaoning Province</v>
      </c>
      <c r="C3498" s="1" t="s">
        <v>3120</v>
      </c>
      <c r="D3498" s="1" t="str">
        <f>IFERROR(__xludf.DUMMYFUNCTION("GOOGLETRANSLATE(C3498, ""zh-CN"", ""en"")"),"Panjin City")</f>
        <v>Panjin City</v>
      </c>
      <c r="E3498" s="1" t="s">
        <v>3198</v>
      </c>
      <c r="F3498" s="1" t="str">
        <f>IFERROR(__xludf.DUMMYFUNCTION("GOOGLETRANSLATE(E3498, ""zh-CN"", ""en"")"),"Panshan County")</f>
        <v>Panshan County</v>
      </c>
      <c r="G3498" s="1">
        <v>2.11122E11</v>
      </c>
    </row>
    <row r="3499">
      <c r="A3499" s="1" t="s">
        <v>3109</v>
      </c>
      <c r="B3499" s="1" t="str">
        <f>IFERROR(__xludf.DUMMYFUNCTION("GOOGLETRANSLATE(A3425, ""zh-CN"", ""en"")"),"Liaoning Province")</f>
        <v>Liaoning Province</v>
      </c>
      <c r="C3499" s="1" t="s">
        <v>3121</v>
      </c>
      <c r="D3499" s="1" t="str">
        <f>IFERROR(__xludf.DUMMYFUNCTION("GOOGLETRANSLATE(C3499, ""zh-CN"", ""en"")"),"Tieling City")</f>
        <v>Tieling City</v>
      </c>
      <c r="E3499" s="1" t="s">
        <v>24</v>
      </c>
      <c r="F3499" s="1" t="str">
        <f>IFERROR(__xludf.DUMMYFUNCTION("GOOGLETRANSLATE(E3499, ""zh-CN"", ""en"")"),"City area")</f>
        <v>City area</v>
      </c>
      <c r="G3499" s="1">
        <v>2.11201E11</v>
      </c>
    </row>
    <row r="3500">
      <c r="A3500" s="1" t="s">
        <v>3109</v>
      </c>
      <c r="B3500" s="1" t="str">
        <f>IFERROR(__xludf.DUMMYFUNCTION("GOOGLETRANSLATE(A3426, ""zh-CN"", ""en"")"),"Liaoning Province")</f>
        <v>Liaoning Province</v>
      </c>
      <c r="C3500" s="1" t="s">
        <v>3121</v>
      </c>
      <c r="D3500" s="1" t="str">
        <f>IFERROR(__xludf.DUMMYFUNCTION("GOOGLETRANSLATE(C3500, ""zh-CN"", ""en"")"),"Tieling City")</f>
        <v>Tieling City</v>
      </c>
      <c r="E3500" s="1" t="s">
        <v>3199</v>
      </c>
      <c r="F3500" s="1" t="str">
        <f>IFERROR(__xludf.DUMMYFUNCTION("GOOGLETRANSLATE(E3500, ""zh-CN"", ""en"")"),"Yinzhou District")</f>
        <v>Yinzhou District</v>
      </c>
      <c r="G3500" s="1">
        <v>2.11202E11</v>
      </c>
    </row>
    <row r="3501">
      <c r="A3501" s="1" t="s">
        <v>3109</v>
      </c>
      <c r="B3501" s="1" t="str">
        <f>IFERROR(__xludf.DUMMYFUNCTION("GOOGLETRANSLATE(A3427, ""zh-CN"", ""en"")"),"Liaoning Province")</f>
        <v>Liaoning Province</v>
      </c>
      <c r="C3501" s="1" t="s">
        <v>3121</v>
      </c>
      <c r="D3501" s="1" t="str">
        <f>IFERROR(__xludf.DUMMYFUNCTION("GOOGLETRANSLATE(C3501, ""zh-CN"", ""en"")"),"Tieling City")</f>
        <v>Tieling City</v>
      </c>
      <c r="E3501" s="1" t="s">
        <v>3200</v>
      </c>
      <c r="F3501" s="1" t="str">
        <f>IFERROR(__xludf.DUMMYFUNCTION("GOOGLETRANSLATE(E3501, ""zh-CN"", ""en"")"),"Qinghe District")</f>
        <v>Qinghe District</v>
      </c>
      <c r="G3501" s="1">
        <v>2.11204E11</v>
      </c>
    </row>
    <row r="3502">
      <c r="A3502" s="1" t="s">
        <v>3109</v>
      </c>
      <c r="B3502" s="1" t="str">
        <f>IFERROR(__xludf.DUMMYFUNCTION("GOOGLETRANSLATE(A3428, ""zh-CN"", ""en"")"),"Liaoning Province")</f>
        <v>Liaoning Province</v>
      </c>
      <c r="C3502" s="1" t="s">
        <v>3121</v>
      </c>
      <c r="D3502" s="1" t="str">
        <f>IFERROR(__xludf.DUMMYFUNCTION("GOOGLETRANSLATE(C3502, ""zh-CN"", ""en"")"),"Tieling City")</f>
        <v>Tieling City</v>
      </c>
      <c r="E3502" s="1" t="s">
        <v>3201</v>
      </c>
      <c r="F3502" s="1" t="str">
        <f>IFERROR(__xludf.DUMMYFUNCTION("GOOGLETRANSLATE(E3502, ""zh-CN"", ""en"")"),"Tieling County")</f>
        <v>Tieling County</v>
      </c>
      <c r="G3502" s="1">
        <v>2.11221E11</v>
      </c>
    </row>
    <row r="3503">
      <c r="A3503" s="1" t="s">
        <v>3109</v>
      </c>
      <c r="B3503" s="1" t="str">
        <f>IFERROR(__xludf.DUMMYFUNCTION("GOOGLETRANSLATE(A3429, ""zh-CN"", ""en"")"),"Liaoning Province")</f>
        <v>Liaoning Province</v>
      </c>
      <c r="C3503" s="1" t="s">
        <v>3121</v>
      </c>
      <c r="D3503" s="1" t="str">
        <f>IFERROR(__xludf.DUMMYFUNCTION("GOOGLETRANSLATE(C3503, ""zh-CN"", ""en"")"),"Tieling City")</f>
        <v>Tieling City</v>
      </c>
      <c r="E3503" s="1" t="s">
        <v>3202</v>
      </c>
      <c r="F3503" s="1" t="str">
        <f>IFERROR(__xludf.DUMMYFUNCTION("GOOGLETRANSLATE(E3503, ""zh-CN"", ""en"")"),"Xifeng County")</f>
        <v>Xifeng County</v>
      </c>
      <c r="G3503" s="1">
        <v>2.11223E11</v>
      </c>
    </row>
    <row r="3504">
      <c r="A3504" s="1" t="s">
        <v>3109</v>
      </c>
      <c r="B3504" s="1" t="str">
        <f>IFERROR(__xludf.DUMMYFUNCTION("GOOGLETRANSLATE(A3430, ""zh-CN"", ""en"")"),"Liaoning Province")</f>
        <v>Liaoning Province</v>
      </c>
      <c r="C3504" s="1" t="s">
        <v>3121</v>
      </c>
      <c r="D3504" s="1" t="str">
        <f>IFERROR(__xludf.DUMMYFUNCTION("GOOGLETRANSLATE(C3504, ""zh-CN"", ""en"")"),"Tieling City")</f>
        <v>Tieling City</v>
      </c>
      <c r="E3504" s="1" t="s">
        <v>3203</v>
      </c>
      <c r="F3504" s="1" t="str">
        <f>IFERROR(__xludf.DUMMYFUNCTION("GOOGLETRANSLATE(E3504, ""zh-CN"", ""en"")"),"Changtu County")</f>
        <v>Changtu County</v>
      </c>
      <c r="G3504" s="1">
        <v>2.11224E11</v>
      </c>
    </row>
    <row r="3505">
      <c r="A3505" s="1" t="s">
        <v>3109</v>
      </c>
      <c r="B3505" s="1" t="str">
        <f>IFERROR(__xludf.DUMMYFUNCTION("GOOGLETRANSLATE(A3431, ""zh-CN"", ""en"")"),"Liaoning Province")</f>
        <v>Liaoning Province</v>
      </c>
      <c r="C3505" s="1" t="s">
        <v>3121</v>
      </c>
      <c r="D3505" s="1" t="str">
        <f>IFERROR(__xludf.DUMMYFUNCTION("GOOGLETRANSLATE(C3505, ""zh-CN"", ""en"")"),"Tieling City")</f>
        <v>Tieling City</v>
      </c>
      <c r="E3505" s="1" t="s">
        <v>3204</v>
      </c>
      <c r="F3505" s="1" t="str">
        <f>IFERROR(__xludf.DUMMYFUNCTION("GOOGLETRANSLATE(E3505, ""zh-CN"", ""en"")"),"Tune Mountain City")</f>
        <v>Tune Mountain City</v>
      </c>
      <c r="G3505" s="1">
        <v>2.11281E11</v>
      </c>
    </row>
    <row r="3506">
      <c r="A3506" s="1" t="s">
        <v>3109</v>
      </c>
      <c r="B3506" s="1" t="str">
        <f>IFERROR(__xludf.DUMMYFUNCTION("GOOGLETRANSLATE(A3432, ""zh-CN"", ""en"")"),"Liaoning Province")</f>
        <v>Liaoning Province</v>
      </c>
      <c r="C3506" s="1" t="s">
        <v>3121</v>
      </c>
      <c r="D3506" s="1" t="str">
        <f>IFERROR(__xludf.DUMMYFUNCTION("GOOGLETRANSLATE(C3506, ""zh-CN"", ""en"")"),"Tieling City")</f>
        <v>Tieling City</v>
      </c>
      <c r="E3506" s="1" t="s">
        <v>3205</v>
      </c>
      <c r="F3506" s="1" t="str">
        <f>IFERROR(__xludf.DUMMYFUNCTION("GOOGLETRANSLATE(E3506, ""zh-CN"", ""en"")"),"Kaiyuan City")</f>
        <v>Kaiyuan City</v>
      </c>
      <c r="G3506" s="1">
        <v>2.11282E11</v>
      </c>
    </row>
    <row r="3507">
      <c r="A3507" s="1" t="s">
        <v>3109</v>
      </c>
      <c r="B3507" s="1" t="str">
        <f>IFERROR(__xludf.DUMMYFUNCTION("GOOGLETRANSLATE(A3433, ""zh-CN"", ""en"")"),"Liaoning Province")</f>
        <v>Liaoning Province</v>
      </c>
      <c r="C3507" s="1" t="s">
        <v>3122</v>
      </c>
      <c r="D3507" s="1" t="str">
        <f>IFERROR(__xludf.DUMMYFUNCTION("GOOGLETRANSLATE(C3507, ""zh-CN"", ""en"")"),"Chaoyang City")</f>
        <v>Chaoyang City</v>
      </c>
      <c r="E3507" s="1" t="s">
        <v>24</v>
      </c>
      <c r="F3507" s="1" t="str">
        <f>IFERROR(__xludf.DUMMYFUNCTION("GOOGLETRANSLATE(E3507, ""zh-CN"", ""en"")"),"City area")</f>
        <v>City area</v>
      </c>
      <c r="G3507" s="1">
        <v>2.11301E11</v>
      </c>
    </row>
    <row r="3508">
      <c r="A3508" s="1" t="s">
        <v>3109</v>
      </c>
      <c r="B3508" s="1" t="str">
        <f>IFERROR(__xludf.DUMMYFUNCTION("GOOGLETRANSLATE(A3434, ""zh-CN"", ""en"")"),"Liaoning Province")</f>
        <v>Liaoning Province</v>
      </c>
      <c r="C3508" s="1" t="s">
        <v>3122</v>
      </c>
      <c r="D3508" s="1" t="str">
        <f>IFERROR(__xludf.DUMMYFUNCTION("GOOGLETRANSLATE(C3508, ""zh-CN"", ""en"")"),"Chaoyang City")</f>
        <v>Chaoyang City</v>
      </c>
      <c r="E3508" s="1" t="s">
        <v>3206</v>
      </c>
      <c r="F3508" s="1" t="str">
        <f>IFERROR(__xludf.DUMMYFUNCTION("GOOGLETRANSLATE(E3508, ""zh-CN"", ""en"")"),"Double tower area")</f>
        <v>Double tower area</v>
      </c>
      <c r="G3508" s="1">
        <v>2.11302E11</v>
      </c>
    </row>
    <row r="3509">
      <c r="A3509" s="1" t="s">
        <v>3109</v>
      </c>
      <c r="B3509" s="1" t="str">
        <f>IFERROR(__xludf.DUMMYFUNCTION("GOOGLETRANSLATE(A3435, ""zh-CN"", ""en"")"),"Liaoning Province")</f>
        <v>Liaoning Province</v>
      </c>
      <c r="C3509" s="1" t="s">
        <v>3122</v>
      </c>
      <c r="D3509" s="1" t="str">
        <f>IFERROR(__xludf.DUMMYFUNCTION("GOOGLETRANSLATE(C3509, ""zh-CN"", ""en"")"),"Chaoyang City")</f>
        <v>Chaoyang City</v>
      </c>
      <c r="E3509" s="1" t="s">
        <v>3207</v>
      </c>
      <c r="F3509" s="1" t="str">
        <f>IFERROR(__xludf.DUMMYFUNCTION("GOOGLETRANSLATE(E3509, ""zh-CN"", ""en"")"),"Longcheng District")</f>
        <v>Longcheng District</v>
      </c>
      <c r="G3509" s="1">
        <v>2.11303E11</v>
      </c>
    </row>
    <row r="3510">
      <c r="A3510" s="1" t="s">
        <v>3109</v>
      </c>
      <c r="B3510" s="1" t="str">
        <f>IFERROR(__xludf.DUMMYFUNCTION("GOOGLETRANSLATE(A3436, ""zh-CN"", ""en"")"),"Liaoning Province")</f>
        <v>Liaoning Province</v>
      </c>
      <c r="C3510" s="1" t="s">
        <v>3122</v>
      </c>
      <c r="D3510" s="1" t="str">
        <f>IFERROR(__xludf.DUMMYFUNCTION("GOOGLETRANSLATE(C3510, ""zh-CN"", ""en"")"),"Chaoyang City")</f>
        <v>Chaoyang City</v>
      </c>
      <c r="E3510" s="1" t="s">
        <v>3208</v>
      </c>
      <c r="F3510" s="1" t="str">
        <f>IFERROR(__xludf.DUMMYFUNCTION("GOOGLETRANSLATE(E3510, ""zh-CN"", ""en"")"),"Chaoyang County")</f>
        <v>Chaoyang County</v>
      </c>
      <c r="G3510" s="1">
        <v>2.11321E11</v>
      </c>
    </row>
    <row r="3511">
      <c r="A3511" s="1" t="s">
        <v>3109</v>
      </c>
      <c r="B3511" s="1" t="str">
        <f>IFERROR(__xludf.DUMMYFUNCTION("GOOGLETRANSLATE(A3437, ""zh-CN"", ""en"")"),"Liaoning Province")</f>
        <v>Liaoning Province</v>
      </c>
      <c r="C3511" s="1" t="s">
        <v>3122</v>
      </c>
      <c r="D3511" s="1" t="str">
        <f>IFERROR(__xludf.DUMMYFUNCTION("GOOGLETRANSLATE(C3511, ""zh-CN"", ""en"")"),"Chaoyang City")</f>
        <v>Chaoyang City</v>
      </c>
      <c r="E3511" s="1" t="s">
        <v>3209</v>
      </c>
      <c r="F3511" s="1" t="str">
        <f>IFERROR(__xludf.DUMMYFUNCTION("GOOGLETRANSLATE(E3511, ""zh-CN"", ""en"")"),"Jianping County")</f>
        <v>Jianping County</v>
      </c>
      <c r="G3511" s="1">
        <v>2.11322E11</v>
      </c>
    </row>
    <row r="3512">
      <c r="A3512" s="1" t="s">
        <v>3109</v>
      </c>
      <c r="B3512" s="1" t="str">
        <f>IFERROR(__xludf.DUMMYFUNCTION("GOOGLETRANSLATE(A3438, ""zh-CN"", ""en"")"),"Liaoning Province")</f>
        <v>Liaoning Province</v>
      </c>
      <c r="C3512" s="1" t="s">
        <v>3122</v>
      </c>
      <c r="D3512" s="1" t="str">
        <f>IFERROR(__xludf.DUMMYFUNCTION("GOOGLETRANSLATE(C3512, ""zh-CN"", ""en"")"),"Chaoyang City")</f>
        <v>Chaoyang City</v>
      </c>
      <c r="E3512" s="1" t="s">
        <v>3210</v>
      </c>
      <c r="F3512" s="1" t="str">
        <f>IFERROR(__xludf.DUMMYFUNCTION("GOOGLETRANSLATE(E3512, ""zh-CN"", ""en"")"),"Karaqin Left Mongolian Autonomous County")</f>
        <v>Karaqin Left Mongolian Autonomous County</v>
      </c>
      <c r="G3512" s="1">
        <v>2.11324E11</v>
      </c>
    </row>
    <row r="3513">
      <c r="A3513" s="1" t="s">
        <v>3109</v>
      </c>
      <c r="B3513" s="1" t="str">
        <f>IFERROR(__xludf.DUMMYFUNCTION("GOOGLETRANSLATE(A3439, ""zh-CN"", ""en"")"),"Liaoning Province")</f>
        <v>Liaoning Province</v>
      </c>
      <c r="C3513" s="1" t="s">
        <v>3122</v>
      </c>
      <c r="D3513" s="1" t="str">
        <f>IFERROR(__xludf.DUMMYFUNCTION("GOOGLETRANSLATE(C3513, ""zh-CN"", ""en"")"),"Chaoyang City")</f>
        <v>Chaoyang City</v>
      </c>
      <c r="E3513" s="1" t="s">
        <v>3211</v>
      </c>
      <c r="F3513" s="1" t="str">
        <f>IFERROR(__xludf.DUMMYFUNCTION("GOOGLETRANSLATE(E3513, ""zh-CN"", ""en"")"),"North Ticket City")</f>
        <v>North Ticket City</v>
      </c>
      <c r="G3513" s="1">
        <v>2.11381E11</v>
      </c>
    </row>
    <row r="3514">
      <c r="A3514" s="1" t="s">
        <v>3109</v>
      </c>
      <c r="B3514" s="1" t="str">
        <f>IFERROR(__xludf.DUMMYFUNCTION("GOOGLETRANSLATE(A3440, ""zh-CN"", ""en"")"),"Liaoning Province")</f>
        <v>Liaoning Province</v>
      </c>
      <c r="C3514" s="1" t="s">
        <v>3122</v>
      </c>
      <c r="D3514" s="1" t="str">
        <f>IFERROR(__xludf.DUMMYFUNCTION("GOOGLETRANSLATE(C3514, ""zh-CN"", ""en"")"),"Chaoyang City")</f>
        <v>Chaoyang City</v>
      </c>
      <c r="E3514" s="1" t="s">
        <v>3212</v>
      </c>
      <c r="F3514" s="1" t="str">
        <f>IFERROR(__xludf.DUMMYFUNCTION("GOOGLETRANSLATE(E3514, ""zh-CN"", ""en"")"),"Lingyuan City")</f>
        <v>Lingyuan City</v>
      </c>
      <c r="G3514" s="1">
        <v>2.11382E11</v>
      </c>
    </row>
    <row r="3515">
      <c r="A3515" s="1" t="s">
        <v>3109</v>
      </c>
      <c r="B3515" s="1" t="str">
        <f>IFERROR(__xludf.DUMMYFUNCTION("GOOGLETRANSLATE(A3441, ""zh-CN"", ""en"")"),"Liaoning Province")</f>
        <v>Liaoning Province</v>
      </c>
      <c r="C3515" s="1" t="s">
        <v>3123</v>
      </c>
      <c r="D3515" s="1" t="str">
        <f>IFERROR(__xludf.DUMMYFUNCTION("GOOGLETRANSLATE(C3515, ""zh-CN"", ""en"")"),"Huludao City")</f>
        <v>Huludao City</v>
      </c>
      <c r="E3515" s="1" t="s">
        <v>24</v>
      </c>
      <c r="F3515" s="1" t="str">
        <f>IFERROR(__xludf.DUMMYFUNCTION("GOOGLETRANSLATE(E3515, ""zh-CN"", ""en"")"),"City area")</f>
        <v>City area</v>
      </c>
      <c r="G3515" s="1">
        <v>2.11401E11</v>
      </c>
    </row>
    <row r="3516">
      <c r="A3516" s="1" t="s">
        <v>3109</v>
      </c>
      <c r="B3516" s="1" t="str">
        <f>IFERROR(__xludf.DUMMYFUNCTION("GOOGLETRANSLATE(A3442, ""zh-CN"", ""en"")"),"Liaoning Province")</f>
        <v>Liaoning Province</v>
      </c>
      <c r="C3516" s="1" t="s">
        <v>3123</v>
      </c>
      <c r="D3516" s="1" t="str">
        <f>IFERROR(__xludf.DUMMYFUNCTION("GOOGLETRANSLATE(C3516, ""zh-CN"", ""en"")"),"Huludao City")</f>
        <v>Huludao City</v>
      </c>
      <c r="E3516" s="1" t="s">
        <v>3213</v>
      </c>
      <c r="F3516" s="1" t="str">
        <f>IFERROR(__xludf.DUMMYFUNCTION("GOOGLETRANSLATE(E3516, ""zh-CN"", ""en"")"),"Mountainous area")</f>
        <v>Mountainous area</v>
      </c>
      <c r="G3516" s="1">
        <v>2.11402E11</v>
      </c>
    </row>
    <row r="3517">
      <c r="A3517" s="1" t="s">
        <v>3109</v>
      </c>
      <c r="B3517" s="1" t="str">
        <f>IFERROR(__xludf.DUMMYFUNCTION("GOOGLETRANSLATE(A3443, ""zh-CN"", ""en"")"),"Liaoning Province")</f>
        <v>Liaoning Province</v>
      </c>
      <c r="C3517" s="1" t="s">
        <v>3123</v>
      </c>
      <c r="D3517" s="1" t="str">
        <f>IFERROR(__xludf.DUMMYFUNCTION("GOOGLETRANSLATE(C3517, ""zh-CN"", ""en"")"),"Huludao City")</f>
        <v>Huludao City</v>
      </c>
      <c r="E3517" s="1" t="s">
        <v>3214</v>
      </c>
      <c r="F3517" s="1" t="str">
        <f>IFERROR(__xludf.DUMMYFUNCTION("GOOGLETRANSLATE(E3517, ""zh-CN"", ""en"")"),"Longgang District")</f>
        <v>Longgang District</v>
      </c>
      <c r="G3517" s="1">
        <v>2.11403E11</v>
      </c>
    </row>
    <row r="3518">
      <c r="A3518" s="1" t="s">
        <v>3109</v>
      </c>
      <c r="B3518" s="1" t="str">
        <f>IFERROR(__xludf.DUMMYFUNCTION("GOOGLETRANSLATE(A3444, ""zh-CN"", ""en"")"),"Liaoning Province")</f>
        <v>Liaoning Province</v>
      </c>
      <c r="C3518" s="1" t="s">
        <v>3123</v>
      </c>
      <c r="D3518" s="1" t="str">
        <f>IFERROR(__xludf.DUMMYFUNCTION("GOOGLETRANSLATE(C3518, ""zh-CN"", ""en"")"),"Huludao City")</f>
        <v>Huludao City</v>
      </c>
      <c r="E3518" s="1" t="s">
        <v>3215</v>
      </c>
      <c r="F3518" s="1" t="str">
        <f>IFERROR(__xludf.DUMMYFUNCTION("GOOGLETRANSLATE(E3518, ""zh-CN"", ""en"")"),"Southern ticket area")</f>
        <v>Southern ticket area</v>
      </c>
      <c r="G3518" s="1">
        <v>2.11404E11</v>
      </c>
    </row>
    <row r="3519">
      <c r="A3519" s="1" t="s">
        <v>3109</v>
      </c>
      <c r="B3519" s="1" t="str">
        <f>IFERROR(__xludf.DUMMYFUNCTION("GOOGLETRANSLATE(A3445, ""zh-CN"", ""en"")"),"Liaoning Province")</f>
        <v>Liaoning Province</v>
      </c>
      <c r="C3519" s="1" t="s">
        <v>3123</v>
      </c>
      <c r="D3519" s="1" t="str">
        <f>IFERROR(__xludf.DUMMYFUNCTION("GOOGLETRANSLATE(C3519, ""zh-CN"", ""en"")"),"Huludao City")</f>
        <v>Huludao City</v>
      </c>
      <c r="E3519" s="1" t="s">
        <v>3216</v>
      </c>
      <c r="F3519" s="1" t="str">
        <f>IFERROR(__xludf.DUMMYFUNCTION("GOOGLETRANSLATE(E3519, ""zh-CN"", ""en"")"),"Suizhong County")</f>
        <v>Suizhong County</v>
      </c>
      <c r="G3519" s="1">
        <v>2.11421E11</v>
      </c>
    </row>
    <row r="3520">
      <c r="A3520" s="1" t="s">
        <v>3109</v>
      </c>
      <c r="B3520" s="1" t="str">
        <f>IFERROR(__xludf.DUMMYFUNCTION("GOOGLETRANSLATE(A3446, ""zh-CN"", ""en"")"),"Liaoning Province")</f>
        <v>Liaoning Province</v>
      </c>
      <c r="C3520" s="1" t="s">
        <v>3123</v>
      </c>
      <c r="D3520" s="1" t="str">
        <f>IFERROR(__xludf.DUMMYFUNCTION("GOOGLETRANSLATE(C3520, ""zh-CN"", ""en"")"),"Huludao City")</f>
        <v>Huludao City</v>
      </c>
      <c r="E3520" s="1" t="s">
        <v>3217</v>
      </c>
      <c r="F3520" s="1" t="str">
        <f>IFERROR(__xludf.DUMMYFUNCTION("GOOGLETRANSLATE(E3520, ""zh-CN"", ""en"")"),"Jianchang County")</f>
        <v>Jianchang County</v>
      </c>
      <c r="G3520" s="1">
        <v>2.11422E11</v>
      </c>
    </row>
    <row r="3521">
      <c r="A3521" s="1" t="s">
        <v>3109</v>
      </c>
      <c r="B3521" s="1" t="str">
        <f>IFERROR(__xludf.DUMMYFUNCTION("GOOGLETRANSLATE(A3447, ""zh-CN"", ""en"")"),"Liaoning Province")</f>
        <v>Liaoning Province</v>
      </c>
      <c r="C3521" s="1" t="s">
        <v>3123</v>
      </c>
      <c r="D3521" s="1" t="str">
        <f>IFERROR(__xludf.DUMMYFUNCTION("GOOGLETRANSLATE(C3521, ""zh-CN"", ""en"")"),"Huludao City")</f>
        <v>Huludao City</v>
      </c>
      <c r="E3521" s="1" t="s">
        <v>3218</v>
      </c>
      <c r="F3521" s="1" t="str">
        <f>IFERROR(__xludf.DUMMYFUNCTION("GOOGLETRANSLATE(E3521, ""zh-CN"", ""en"")"),"City")</f>
        <v>City</v>
      </c>
      <c r="G3521" s="1">
        <v>2.11481E11</v>
      </c>
    </row>
    <row r="3522">
      <c r="A3522" s="1" t="s">
        <v>3219</v>
      </c>
      <c r="B3522" s="1" t="str">
        <f>IFERROR(__xludf.DUMMYFUNCTION("GOOGLETRANSLATE(A3448, ""zh-CN"", ""en"")"),"Liaoning Province")</f>
        <v>Liaoning Province</v>
      </c>
      <c r="C3522" s="1" t="s">
        <v>8</v>
      </c>
      <c r="D3522" s="1" t="str">
        <f>IFERROR(__xludf.DUMMYFUNCTION("GOOGLETRANSLATE(C3522, ""zh-CN"", ""en"")"),"Na")</f>
        <v>Na</v>
      </c>
      <c r="E3522" s="1" t="s">
        <v>8</v>
      </c>
      <c r="F3522" s="1" t="str">
        <f>IFERROR(__xludf.DUMMYFUNCTION("GOOGLETRANSLATE(E3522, ""zh-CN"", ""en"")"),"Na")</f>
        <v>Na</v>
      </c>
      <c r="G3522" s="1">
        <v>62.0</v>
      </c>
    </row>
    <row r="3523">
      <c r="A3523" s="1" t="s">
        <v>3219</v>
      </c>
      <c r="B3523" s="1" t="str">
        <f>IFERROR(__xludf.DUMMYFUNCTION("GOOGLETRANSLATE(A3449, ""zh-CN"", ""en"")"),"Liaoning Province")</f>
        <v>Liaoning Province</v>
      </c>
      <c r="C3523" s="1" t="s">
        <v>3220</v>
      </c>
      <c r="D3523" s="1" t="str">
        <f>IFERROR(__xludf.DUMMYFUNCTION("GOOGLETRANSLATE(C3523, ""zh-CN"", ""en"")"),"Lan'Zhou City")</f>
        <v>Lan'Zhou City</v>
      </c>
      <c r="E3523" s="1" t="s">
        <v>8</v>
      </c>
      <c r="F3523" s="1" t="str">
        <f>IFERROR(__xludf.DUMMYFUNCTION("GOOGLETRANSLATE(E3523, ""zh-CN"", ""en"")"),"Na")</f>
        <v>Na</v>
      </c>
      <c r="G3523" s="1">
        <v>6.201E11</v>
      </c>
    </row>
    <row r="3524">
      <c r="A3524" s="1" t="s">
        <v>3219</v>
      </c>
      <c r="B3524" s="1" t="str">
        <f>IFERROR(__xludf.DUMMYFUNCTION("GOOGLETRANSLATE(A3450, ""zh-CN"", ""en"")"),"Liaoning Province")</f>
        <v>Liaoning Province</v>
      </c>
      <c r="C3524" s="1" t="s">
        <v>3221</v>
      </c>
      <c r="D3524" s="1" t="str">
        <f>IFERROR(__xludf.DUMMYFUNCTION("GOOGLETRANSLATE(C3524, ""zh-CN"", ""en"")"),"Jiayuguan City")</f>
        <v>Jiayuguan City</v>
      </c>
      <c r="E3524" s="1" t="s">
        <v>8</v>
      </c>
      <c r="F3524" s="1" t="str">
        <f>IFERROR(__xludf.DUMMYFUNCTION("GOOGLETRANSLATE(E3524, ""zh-CN"", ""en"")"),"Na")</f>
        <v>Na</v>
      </c>
      <c r="G3524" s="1">
        <v>6.202E11</v>
      </c>
    </row>
    <row r="3525">
      <c r="A3525" s="1" t="s">
        <v>3219</v>
      </c>
      <c r="B3525" s="1" t="str">
        <f>IFERROR(__xludf.DUMMYFUNCTION("GOOGLETRANSLATE(A3451, ""zh-CN"", ""en"")"),"Liaoning Province")</f>
        <v>Liaoning Province</v>
      </c>
      <c r="C3525" s="1" t="s">
        <v>3222</v>
      </c>
      <c r="D3525" s="1" t="str">
        <f>IFERROR(__xludf.DUMMYFUNCTION("GOOGLETRANSLATE(C3525, ""zh-CN"", ""en"")"),"Jinchang")</f>
        <v>Jinchang</v>
      </c>
      <c r="E3525" s="1" t="s">
        <v>8</v>
      </c>
      <c r="F3525" s="1" t="str">
        <f>IFERROR(__xludf.DUMMYFUNCTION("GOOGLETRANSLATE(E3525, ""zh-CN"", ""en"")"),"Na")</f>
        <v>Na</v>
      </c>
      <c r="G3525" s="1">
        <v>6.203E11</v>
      </c>
    </row>
    <row r="3526">
      <c r="A3526" s="1" t="s">
        <v>3219</v>
      </c>
      <c r="B3526" s="1" t="str">
        <f>IFERROR(__xludf.DUMMYFUNCTION("GOOGLETRANSLATE(A3452, ""zh-CN"", ""en"")"),"Liaoning Province")</f>
        <v>Liaoning Province</v>
      </c>
      <c r="C3526" s="1" t="s">
        <v>3223</v>
      </c>
      <c r="D3526" s="1" t="str">
        <f>IFERROR(__xludf.DUMMYFUNCTION("GOOGLETRANSLATE(C3526, ""zh-CN"", ""en"")"),"Silver city")</f>
        <v>Silver city</v>
      </c>
      <c r="E3526" s="1" t="s">
        <v>8</v>
      </c>
      <c r="F3526" s="1" t="str">
        <f>IFERROR(__xludf.DUMMYFUNCTION("GOOGLETRANSLATE(E3526, ""zh-CN"", ""en"")"),"Na")</f>
        <v>Na</v>
      </c>
      <c r="G3526" s="1">
        <v>6.204E11</v>
      </c>
    </row>
    <row r="3527">
      <c r="A3527" s="1" t="s">
        <v>3219</v>
      </c>
      <c r="B3527" s="1" t="str">
        <f>IFERROR(__xludf.DUMMYFUNCTION("GOOGLETRANSLATE(A3453, ""zh-CN"", ""en"")"),"Liaoning Province")</f>
        <v>Liaoning Province</v>
      </c>
      <c r="C3527" s="1" t="s">
        <v>3224</v>
      </c>
      <c r="D3527" s="1" t="str">
        <f>IFERROR(__xludf.DUMMYFUNCTION("GOOGLETRANSLATE(C3527, ""zh-CN"", ""en"")"),"Tianshui")</f>
        <v>Tianshui</v>
      </c>
      <c r="E3527" s="1" t="s">
        <v>8</v>
      </c>
      <c r="F3527" s="1" t="str">
        <f>IFERROR(__xludf.DUMMYFUNCTION("GOOGLETRANSLATE(E3527, ""zh-CN"", ""en"")"),"Na")</f>
        <v>Na</v>
      </c>
      <c r="G3527" s="1">
        <v>6.205E11</v>
      </c>
    </row>
    <row r="3528">
      <c r="A3528" s="1" t="s">
        <v>3219</v>
      </c>
      <c r="B3528" s="1" t="str">
        <f>IFERROR(__xludf.DUMMYFUNCTION("GOOGLETRANSLATE(A3454, ""zh-CN"", ""en"")"),"Liaoning Province")</f>
        <v>Liaoning Province</v>
      </c>
      <c r="C3528" s="1" t="s">
        <v>3225</v>
      </c>
      <c r="D3528" s="1" t="str">
        <f>IFERROR(__xludf.DUMMYFUNCTION("GOOGLETRANSLATE(C3528, ""zh-CN"", ""en"")"),"Wuwei City")</f>
        <v>Wuwei City</v>
      </c>
      <c r="E3528" s="1" t="s">
        <v>8</v>
      </c>
      <c r="F3528" s="1" t="str">
        <f>IFERROR(__xludf.DUMMYFUNCTION("GOOGLETRANSLATE(E3528, ""zh-CN"", ""en"")"),"Na")</f>
        <v>Na</v>
      </c>
      <c r="G3528" s="1">
        <v>6.206E11</v>
      </c>
    </row>
    <row r="3529">
      <c r="A3529" s="1" t="s">
        <v>3219</v>
      </c>
      <c r="B3529" s="1" t="str">
        <f>IFERROR(__xludf.DUMMYFUNCTION("GOOGLETRANSLATE(A3455, ""zh-CN"", ""en"")"),"Liaoning Province")</f>
        <v>Liaoning Province</v>
      </c>
      <c r="C3529" s="1" t="s">
        <v>3226</v>
      </c>
      <c r="D3529" s="1" t="str">
        <f>IFERROR(__xludf.DUMMYFUNCTION("GOOGLETRANSLATE(C3529, ""zh-CN"", ""en"")"),"Zhangye City")</f>
        <v>Zhangye City</v>
      </c>
      <c r="E3529" s="1" t="s">
        <v>8</v>
      </c>
      <c r="F3529" s="1" t="str">
        <f>IFERROR(__xludf.DUMMYFUNCTION("GOOGLETRANSLATE(E3529, ""zh-CN"", ""en"")"),"Na")</f>
        <v>Na</v>
      </c>
      <c r="G3529" s="1">
        <v>6.207E11</v>
      </c>
    </row>
    <row r="3530">
      <c r="A3530" s="1" t="s">
        <v>3219</v>
      </c>
      <c r="B3530" s="1" t="str">
        <f>IFERROR(__xludf.DUMMYFUNCTION("GOOGLETRANSLATE(A3456, ""zh-CN"", ""en"")"),"Liaoning Province")</f>
        <v>Liaoning Province</v>
      </c>
      <c r="C3530" s="1" t="s">
        <v>3227</v>
      </c>
      <c r="D3530" s="1" t="str">
        <f>IFERROR(__xludf.DUMMYFUNCTION("GOOGLETRANSLATE(C3530, ""zh-CN"", ""en"")"),"Pingliang City")</f>
        <v>Pingliang City</v>
      </c>
      <c r="E3530" s="1" t="s">
        <v>8</v>
      </c>
      <c r="F3530" s="1" t="str">
        <f>IFERROR(__xludf.DUMMYFUNCTION("GOOGLETRANSLATE(E3530, ""zh-CN"", ""en"")"),"Na")</f>
        <v>Na</v>
      </c>
      <c r="G3530" s="1">
        <v>6.208E11</v>
      </c>
    </row>
    <row r="3531">
      <c r="A3531" s="1" t="s">
        <v>3219</v>
      </c>
      <c r="B3531" s="1" t="str">
        <f>IFERROR(__xludf.DUMMYFUNCTION("GOOGLETRANSLATE(A3457, ""zh-CN"", ""en"")"),"Liaoning Province")</f>
        <v>Liaoning Province</v>
      </c>
      <c r="C3531" s="1" t="s">
        <v>3228</v>
      </c>
      <c r="D3531" s="1" t="str">
        <f>IFERROR(__xludf.DUMMYFUNCTION("GOOGLETRANSLATE(C3531, ""zh-CN"", ""en"")"),"Jiuquan City")</f>
        <v>Jiuquan City</v>
      </c>
      <c r="E3531" s="1" t="s">
        <v>8</v>
      </c>
      <c r="F3531" s="1" t="str">
        <f>IFERROR(__xludf.DUMMYFUNCTION("GOOGLETRANSLATE(E3531, ""zh-CN"", ""en"")"),"Na")</f>
        <v>Na</v>
      </c>
      <c r="G3531" s="1">
        <v>6.209E11</v>
      </c>
    </row>
    <row r="3532">
      <c r="A3532" s="1" t="s">
        <v>3219</v>
      </c>
      <c r="B3532" s="1" t="str">
        <f>IFERROR(__xludf.DUMMYFUNCTION("GOOGLETRANSLATE(A3458, ""zh-CN"", ""en"")"),"Liaoning Province")</f>
        <v>Liaoning Province</v>
      </c>
      <c r="C3532" s="1" t="s">
        <v>3229</v>
      </c>
      <c r="D3532" s="1" t="str">
        <f>IFERROR(__xludf.DUMMYFUNCTION("GOOGLETRANSLATE(C3532, ""zh-CN"", ""en"")"),"Qingyang City")</f>
        <v>Qingyang City</v>
      </c>
      <c r="E3532" s="1" t="s">
        <v>8</v>
      </c>
      <c r="F3532" s="1" t="str">
        <f>IFERROR(__xludf.DUMMYFUNCTION("GOOGLETRANSLATE(E3532, ""zh-CN"", ""en"")"),"Na")</f>
        <v>Na</v>
      </c>
      <c r="G3532" s="1">
        <v>6.21E11</v>
      </c>
    </row>
    <row r="3533">
      <c r="A3533" s="1" t="s">
        <v>3219</v>
      </c>
      <c r="B3533" s="1" t="str">
        <f>IFERROR(__xludf.DUMMYFUNCTION("GOOGLETRANSLATE(A3459, ""zh-CN"", ""en"")"),"Liaoning Province")</f>
        <v>Liaoning Province</v>
      </c>
      <c r="C3533" s="1" t="s">
        <v>3230</v>
      </c>
      <c r="D3533" s="1" t="str">
        <f>IFERROR(__xludf.DUMMYFUNCTION("GOOGLETRANSLATE(C3533, ""zh-CN"", ""en"")"),"Dingxi City")</f>
        <v>Dingxi City</v>
      </c>
      <c r="E3533" s="1" t="s">
        <v>8</v>
      </c>
      <c r="F3533" s="1" t="str">
        <f>IFERROR(__xludf.DUMMYFUNCTION("GOOGLETRANSLATE(E3533, ""zh-CN"", ""en"")"),"Na")</f>
        <v>Na</v>
      </c>
      <c r="G3533" s="1">
        <v>6.211E11</v>
      </c>
    </row>
    <row r="3534">
      <c r="A3534" s="1" t="s">
        <v>3219</v>
      </c>
      <c r="B3534" s="1" t="str">
        <f>IFERROR(__xludf.DUMMYFUNCTION("GOOGLETRANSLATE(A3460, ""zh-CN"", ""en"")"),"Liaoning Province")</f>
        <v>Liaoning Province</v>
      </c>
      <c r="C3534" s="1" t="s">
        <v>3231</v>
      </c>
      <c r="D3534" s="1" t="str">
        <f>IFERROR(__xludf.DUMMYFUNCTION("GOOGLETRANSLATE(C3534, ""zh-CN"", ""en"")"),"Longnan City")</f>
        <v>Longnan City</v>
      </c>
      <c r="E3534" s="1" t="s">
        <v>8</v>
      </c>
      <c r="F3534" s="1" t="str">
        <f>IFERROR(__xludf.DUMMYFUNCTION("GOOGLETRANSLATE(E3534, ""zh-CN"", ""en"")"),"Na")</f>
        <v>Na</v>
      </c>
      <c r="G3534" s="1">
        <v>6.212E11</v>
      </c>
    </row>
    <row r="3535">
      <c r="A3535" s="1" t="s">
        <v>3219</v>
      </c>
      <c r="B3535" s="1" t="str">
        <f>IFERROR(__xludf.DUMMYFUNCTION("GOOGLETRANSLATE(A3461, ""zh-CN"", ""en"")"),"Liaoning Province")</f>
        <v>Liaoning Province</v>
      </c>
      <c r="C3535" s="1" t="s">
        <v>3232</v>
      </c>
      <c r="D3535" s="1" t="str">
        <f>IFERROR(__xludf.DUMMYFUNCTION("GOOGLETRANSLATE(C3535, ""zh-CN"", ""en"")"),"Linxia Hui Autonomous Prefecture")</f>
        <v>Linxia Hui Autonomous Prefecture</v>
      </c>
      <c r="E3535" s="1" t="s">
        <v>8</v>
      </c>
      <c r="F3535" s="1" t="str">
        <f>IFERROR(__xludf.DUMMYFUNCTION("GOOGLETRANSLATE(E3535, ""zh-CN"", ""en"")"),"Na")</f>
        <v>Na</v>
      </c>
      <c r="G3535" s="1">
        <v>6.229E11</v>
      </c>
    </row>
    <row r="3536">
      <c r="A3536" s="1" t="s">
        <v>3219</v>
      </c>
      <c r="B3536" s="1" t="str">
        <f>IFERROR(__xludf.DUMMYFUNCTION("GOOGLETRANSLATE(A3462, ""zh-CN"", ""en"")"),"Liaoning Province")</f>
        <v>Liaoning Province</v>
      </c>
      <c r="C3536" s="1" t="s">
        <v>3233</v>
      </c>
      <c r="D3536" s="1" t="str">
        <f>IFERROR(__xludf.DUMMYFUNCTION("GOOGLETRANSLATE(C3536, ""zh-CN"", ""en"")"),"Gannan Tibetan Autonomous Prefecture")</f>
        <v>Gannan Tibetan Autonomous Prefecture</v>
      </c>
      <c r="E3536" s="1" t="s">
        <v>8</v>
      </c>
      <c r="F3536" s="1" t="str">
        <f>IFERROR(__xludf.DUMMYFUNCTION("GOOGLETRANSLATE(E3536, ""zh-CN"", ""en"")"),"Na")</f>
        <v>Na</v>
      </c>
      <c r="G3536" s="1">
        <v>6.23E11</v>
      </c>
    </row>
    <row r="3537">
      <c r="A3537" s="1" t="s">
        <v>3219</v>
      </c>
      <c r="B3537" s="1" t="str">
        <f>IFERROR(__xludf.DUMMYFUNCTION("GOOGLETRANSLATE(A3463, ""zh-CN"", ""en"")"),"Liaoning Province")</f>
        <v>Liaoning Province</v>
      </c>
      <c r="C3537" s="1" t="s">
        <v>3220</v>
      </c>
      <c r="D3537" s="1" t="str">
        <f>IFERROR(__xludf.DUMMYFUNCTION("GOOGLETRANSLATE(C3537, ""zh-CN"", ""en"")"),"Lan'Zhou City")</f>
        <v>Lan'Zhou City</v>
      </c>
      <c r="E3537" s="1" t="s">
        <v>24</v>
      </c>
      <c r="F3537" s="1" t="str">
        <f>IFERROR(__xludf.DUMMYFUNCTION("GOOGLETRANSLATE(E3537, ""zh-CN"", ""en"")"),"City area")</f>
        <v>City area</v>
      </c>
      <c r="G3537" s="1">
        <v>6.20101E11</v>
      </c>
    </row>
    <row r="3538">
      <c r="A3538" s="1" t="s">
        <v>3219</v>
      </c>
      <c r="B3538" s="1" t="str">
        <f>IFERROR(__xludf.DUMMYFUNCTION("GOOGLETRANSLATE(A3464, ""zh-CN"", ""en"")"),"Liaoning Province")</f>
        <v>Liaoning Province</v>
      </c>
      <c r="C3538" s="1" t="s">
        <v>3220</v>
      </c>
      <c r="D3538" s="1" t="str">
        <f>IFERROR(__xludf.DUMMYFUNCTION("GOOGLETRANSLATE(C3538, ""zh-CN"", ""en"")"),"Lan'Zhou City")</f>
        <v>Lan'Zhou City</v>
      </c>
      <c r="E3538" s="1" t="s">
        <v>1518</v>
      </c>
      <c r="F3538" s="1" t="str">
        <f>IFERROR(__xludf.DUMMYFUNCTION("GOOGLETRANSLATE(E3538, ""zh-CN"", ""en"")"),"City customs")</f>
        <v>City customs</v>
      </c>
      <c r="G3538" s="1">
        <v>6.20102E11</v>
      </c>
    </row>
    <row r="3539">
      <c r="A3539" s="1" t="s">
        <v>3219</v>
      </c>
      <c r="B3539" s="1" t="str">
        <f>IFERROR(__xludf.DUMMYFUNCTION("GOOGLETRANSLATE(A3465, ""zh-CN"", ""en"")"),"Liaoning Province")</f>
        <v>Liaoning Province</v>
      </c>
      <c r="C3539" s="1" t="s">
        <v>3220</v>
      </c>
      <c r="D3539" s="1" t="str">
        <f>IFERROR(__xludf.DUMMYFUNCTION("GOOGLETRANSLATE(C3539, ""zh-CN"", ""en"")"),"Lan'Zhou City")</f>
        <v>Lan'Zhou City</v>
      </c>
      <c r="E3539" s="1" t="s">
        <v>3234</v>
      </c>
      <c r="F3539" s="1" t="str">
        <f>IFERROR(__xludf.DUMMYFUNCTION("GOOGLETRANSLATE(E3539, ""zh-CN"", ""en"")"),"Qilihe District")</f>
        <v>Qilihe District</v>
      </c>
      <c r="G3539" s="1">
        <v>6.20103E11</v>
      </c>
    </row>
    <row r="3540">
      <c r="A3540" s="1" t="s">
        <v>3219</v>
      </c>
      <c r="B3540" s="1" t="str">
        <f>IFERROR(__xludf.DUMMYFUNCTION("GOOGLETRANSLATE(A3466, ""zh-CN"", ""en"")"),"Liaoning Province")</f>
        <v>Liaoning Province</v>
      </c>
      <c r="C3540" s="1" t="s">
        <v>3220</v>
      </c>
      <c r="D3540" s="1" t="str">
        <f>IFERROR(__xludf.DUMMYFUNCTION("GOOGLETRANSLATE(C3540, ""zh-CN"", ""en"")"),"Lan'Zhou City")</f>
        <v>Lan'Zhou City</v>
      </c>
      <c r="E3540" s="1" t="s">
        <v>3235</v>
      </c>
      <c r="F3540" s="1" t="str">
        <f>IFERROR(__xludf.DUMMYFUNCTION("GOOGLETRANSLATE(E3540, ""zh-CN"", ""en"")"),"Xigu District")</f>
        <v>Xigu District</v>
      </c>
      <c r="G3540" s="1">
        <v>6.20104E11</v>
      </c>
    </row>
    <row r="3541">
      <c r="A3541" s="1" t="s">
        <v>3219</v>
      </c>
      <c r="B3541" s="1" t="str">
        <f>IFERROR(__xludf.DUMMYFUNCTION("GOOGLETRANSLATE(A3467, ""zh-CN"", ""en"")"),"Liaoning Province")</f>
        <v>Liaoning Province</v>
      </c>
      <c r="C3541" s="1" t="s">
        <v>3220</v>
      </c>
      <c r="D3541" s="1" t="str">
        <f>IFERROR(__xludf.DUMMYFUNCTION("GOOGLETRANSLATE(C3541, ""zh-CN"", ""en"")"),"Lan'Zhou City")</f>
        <v>Lan'Zhou City</v>
      </c>
      <c r="E3541" s="1" t="s">
        <v>3236</v>
      </c>
      <c r="F3541" s="1" t="str">
        <f>IFERROR(__xludf.DUMMYFUNCTION("GOOGLETRANSLATE(E3541, ""zh-CN"", ""en"")"),"Tranquil")</f>
        <v>Tranquil</v>
      </c>
      <c r="G3541" s="1">
        <v>6.20105E11</v>
      </c>
    </row>
    <row r="3542">
      <c r="A3542" s="1" t="s">
        <v>3219</v>
      </c>
      <c r="B3542" s="1" t="str">
        <f>IFERROR(__xludf.DUMMYFUNCTION("GOOGLETRANSLATE(A3468, ""zh-CN"", ""en"")"),"Liaoning Province")</f>
        <v>Liaoning Province</v>
      </c>
      <c r="C3542" s="1" t="s">
        <v>3220</v>
      </c>
      <c r="D3542" s="1" t="str">
        <f>IFERROR(__xludf.DUMMYFUNCTION("GOOGLETRANSLATE(C3542, ""zh-CN"", ""en"")"),"Lan'Zhou City")</f>
        <v>Lan'Zhou City</v>
      </c>
      <c r="E3542" s="1" t="s">
        <v>3237</v>
      </c>
      <c r="F3542" s="1" t="str">
        <f>IFERROR(__xludf.DUMMYFUNCTION("GOOGLETRANSLATE(E3542, ""zh-CN"", ""en"")"),"Red ancient zone")</f>
        <v>Red ancient zone</v>
      </c>
      <c r="G3542" s="1">
        <v>6.20111E11</v>
      </c>
    </row>
    <row r="3543">
      <c r="A3543" s="1" t="s">
        <v>3219</v>
      </c>
      <c r="B3543" s="1" t="str">
        <f>IFERROR(__xludf.DUMMYFUNCTION("GOOGLETRANSLATE(A3469, ""zh-CN"", ""en"")"),"Liaoning Province")</f>
        <v>Liaoning Province</v>
      </c>
      <c r="C3543" s="1" t="s">
        <v>3220</v>
      </c>
      <c r="D3543" s="1" t="str">
        <f>IFERROR(__xludf.DUMMYFUNCTION("GOOGLETRANSLATE(C3543, ""zh-CN"", ""en"")"),"Lan'Zhou City")</f>
        <v>Lan'Zhou City</v>
      </c>
      <c r="E3543" s="1" t="s">
        <v>3238</v>
      </c>
      <c r="F3543" s="1" t="str">
        <f>IFERROR(__xludf.DUMMYFUNCTION("GOOGLETRANSLATE(E3543, ""zh-CN"", ""en"")"),"Yongdeng County")</f>
        <v>Yongdeng County</v>
      </c>
      <c r="G3543" s="1">
        <v>6.20121E11</v>
      </c>
    </row>
    <row r="3544">
      <c r="A3544" s="1" t="s">
        <v>3219</v>
      </c>
      <c r="B3544" s="1" t="str">
        <f>IFERROR(__xludf.DUMMYFUNCTION("GOOGLETRANSLATE(A3470, ""zh-CN"", ""en"")"),"Liaoning Province")</f>
        <v>Liaoning Province</v>
      </c>
      <c r="C3544" s="1" t="s">
        <v>3220</v>
      </c>
      <c r="D3544" s="1" t="str">
        <f>IFERROR(__xludf.DUMMYFUNCTION("GOOGLETRANSLATE(C3544, ""zh-CN"", ""en"")"),"Lan'Zhou City")</f>
        <v>Lan'Zhou City</v>
      </c>
      <c r="E3544" s="1" t="s">
        <v>3239</v>
      </c>
      <c r="F3544" s="1" t="str">
        <f>IFERROR(__xludf.DUMMYFUNCTION("GOOGLETRANSLATE(E3544, ""zh-CN"", ""en"")"),"Yulan County")</f>
        <v>Yulan County</v>
      </c>
      <c r="G3544" s="1">
        <v>6.20122E11</v>
      </c>
    </row>
    <row r="3545">
      <c r="A3545" s="1" t="s">
        <v>3219</v>
      </c>
      <c r="B3545" s="1" t="str">
        <f>IFERROR(__xludf.DUMMYFUNCTION("GOOGLETRANSLATE(A3471, ""zh-CN"", ""en"")"),"Liaoning Province")</f>
        <v>Liaoning Province</v>
      </c>
      <c r="C3545" s="1" t="s">
        <v>3220</v>
      </c>
      <c r="D3545" s="1" t="str">
        <f>IFERROR(__xludf.DUMMYFUNCTION("GOOGLETRANSLATE(C3545, ""zh-CN"", ""en"")"),"Lan'Zhou City")</f>
        <v>Lan'Zhou City</v>
      </c>
      <c r="E3545" s="1" t="s">
        <v>3240</v>
      </c>
      <c r="F3545" s="1" t="str">
        <f>IFERROR(__xludf.DUMMYFUNCTION("GOOGLETRANSLATE(E3545, ""zh-CN"", ""en"")"),"Yuzhong County")</f>
        <v>Yuzhong County</v>
      </c>
      <c r="G3545" s="1">
        <v>6.20123E11</v>
      </c>
    </row>
    <row r="3546">
      <c r="A3546" s="1" t="s">
        <v>3219</v>
      </c>
      <c r="B3546" s="1" t="str">
        <f>IFERROR(__xludf.DUMMYFUNCTION("GOOGLETRANSLATE(A3472, ""zh-CN"", ""en"")"),"Liaoning Province")</f>
        <v>Liaoning Province</v>
      </c>
      <c r="C3546" s="1" t="s">
        <v>3220</v>
      </c>
      <c r="D3546" s="1" t="str">
        <f>IFERROR(__xludf.DUMMYFUNCTION("GOOGLETRANSLATE(C3546, ""zh-CN"", ""en"")"),"Lan'Zhou City")</f>
        <v>Lan'Zhou City</v>
      </c>
      <c r="E3546" s="1" t="s">
        <v>3241</v>
      </c>
      <c r="F3546" s="1" t="str">
        <f>IFERROR(__xludf.DUMMYFUNCTION("GOOGLETRANSLATE(E3546, ""zh-CN"", ""en"")"),"Lanzhou New District")</f>
        <v>Lanzhou New District</v>
      </c>
      <c r="G3546" s="1">
        <v>6.20171E11</v>
      </c>
    </row>
    <row r="3547">
      <c r="A3547" s="1" t="s">
        <v>3219</v>
      </c>
      <c r="B3547" s="1" t="str">
        <f>IFERROR(__xludf.DUMMYFUNCTION("GOOGLETRANSLATE(A3473, ""zh-CN"", ""en"")"),"Liaoning Province")</f>
        <v>Liaoning Province</v>
      </c>
      <c r="C3547" s="1" t="s">
        <v>3221</v>
      </c>
      <c r="D3547" s="1" t="str">
        <f>IFERROR(__xludf.DUMMYFUNCTION("GOOGLETRANSLATE(C3547, ""zh-CN"", ""en"")"),"Jiayuguan City")</f>
        <v>Jiayuguan City</v>
      </c>
      <c r="E3547" s="1" t="s">
        <v>24</v>
      </c>
      <c r="F3547" s="1" t="str">
        <f>IFERROR(__xludf.DUMMYFUNCTION("GOOGLETRANSLATE(E3547, ""zh-CN"", ""en"")"),"City area")</f>
        <v>City area</v>
      </c>
      <c r="G3547" s="1">
        <v>6.20201E11</v>
      </c>
    </row>
    <row r="3548">
      <c r="A3548" s="1" t="s">
        <v>3219</v>
      </c>
      <c r="B3548" s="1" t="str">
        <f>IFERROR(__xludf.DUMMYFUNCTION("GOOGLETRANSLATE(A3474, ""zh-CN"", ""en"")"),"Liaoning Province")</f>
        <v>Liaoning Province</v>
      </c>
      <c r="C3548" s="1" t="s">
        <v>3222</v>
      </c>
      <c r="D3548" s="1" t="str">
        <f>IFERROR(__xludf.DUMMYFUNCTION("GOOGLETRANSLATE(C3548, ""zh-CN"", ""en"")"),"Jinchang")</f>
        <v>Jinchang</v>
      </c>
      <c r="E3548" s="1" t="s">
        <v>24</v>
      </c>
      <c r="F3548" s="1" t="str">
        <f>IFERROR(__xludf.DUMMYFUNCTION("GOOGLETRANSLATE(E3548, ""zh-CN"", ""en"")"),"City area")</f>
        <v>City area</v>
      </c>
      <c r="G3548" s="1">
        <v>6.20301E11</v>
      </c>
    </row>
    <row r="3549">
      <c r="A3549" s="1" t="s">
        <v>3219</v>
      </c>
      <c r="B3549" s="1" t="str">
        <f>IFERROR(__xludf.DUMMYFUNCTION("GOOGLETRANSLATE(A3475, ""zh-CN"", ""en"")"),"Liaoning Province")</f>
        <v>Liaoning Province</v>
      </c>
      <c r="C3549" s="1" t="s">
        <v>3222</v>
      </c>
      <c r="D3549" s="1" t="str">
        <f>IFERROR(__xludf.DUMMYFUNCTION("GOOGLETRANSLATE(C3549, ""zh-CN"", ""en"")"),"Jinchang")</f>
        <v>Jinchang</v>
      </c>
      <c r="E3549" s="1" t="s">
        <v>3242</v>
      </c>
      <c r="F3549" s="1" t="str">
        <f>IFERROR(__xludf.DUMMYFUNCTION("GOOGLETRANSLATE(E3549, ""zh-CN"", ""en"")"),"Jinsheng District")</f>
        <v>Jinsheng District</v>
      </c>
      <c r="G3549" s="1">
        <v>6.20302E11</v>
      </c>
    </row>
    <row r="3550">
      <c r="A3550" s="1" t="s">
        <v>3219</v>
      </c>
      <c r="B3550" s="1" t="str">
        <f>IFERROR(__xludf.DUMMYFUNCTION("GOOGLETRANSLATE(A3476, ""zh-CN"", ""en"")"),"Liaoning Province")</f>
        <v>Liaoning Province</v>
      </c>
      <c r="C3550" s="1" t="s">
        <v>3222</v>
      </c>
      <c r="D3550" s="1" t="str">
        <f>IFERROR(__xludf.DUMMYFUNCTION("GOOGLETRANSLATE(C3550, ""zh-CN"", ""en"")"),"Jinchang")</f>
        <v>Jinchang</v>
      </c>
      <c r="E3550" s="1" t="s">
        <v>3243</v>
      </c>
      <c r="F3550" s="1" t="str">
        <f>IFERROR(__xludf.DUMMYFUNCTION("GOOGLETRANSLATE(E3550, ""zh-CN"", ""en"")"),"Yongchang County")</f>
        <v>Yongchang County</v>
      </c>
      <c r="G3550" s="1">
        <v>6.20321E11</v>
      </c>
    </row>
    <row r="3551">
      <c r="A3551" s="1" t="s">
        <v>3219</v>
      </c>
      <c r="B3551" s="1" t="str">
        <f>IFERROR(__xludf.DUMMYFUNCTION("GOOGLETRANSLATE(A3477, ""zh-CN"", ""en"")"),"Liaoning Province")</f>
        <v>Liaoning Province</v>
      </c>
      <c r="C3551" s="1" t="s">
        <v>3223</v>
      </c>
      <c r="D3551" s="1" t="str">
        <f>IFERROR(__xludf.DUMMYFUNCTION("GOOGLETRANSLATE(C3551, ""zh-CN"", ""en"")"),"Silver city")</f>
        <v>Silver city</v>
      </c>
      <c r="E3551" s="1" t="s">
        <v>24</v>
      </c>
      <c r="F3551" s="1" t="str">
        <f>IFERROR(__xludf.DUMMYFUNCTION("GOOGLETRANSLATE(E3551, ""zh-CN"", ""en"")"),"City area")</f>
        <v>City area</v>
      </c>
      <c r="G3551" s="1">
        <v>6.20401E11</v>
      </c>
    </row>
    <row r="3552">
      <c r="A3552" s="1" t="s">
        <v>3219</v>
      </c>
      <c r="B3552" s="1" t="str">
        <f>IFERROR(__xludf.DUMMYFUNCTION("GOOGLETRANSLATE(A3478, ""zh-CN"", ""en"")"),"Liaoning Province")</f>
        <v>Liaoning Province</v>
      </c>
      <c r="C3552" s="1" t="s">
        <v>3223</v>
      </c>
      <c r="D3552" s="1" t="str">
        <f>IFERROR(__xludf.DUMMYFUNCTION("GOOGLETRANSLATE(C3552, ""zh-CN"", ""en"")"),"Silver city")</f>
        <v>Silver city</v>
      </c>
      <c r="E3552" s="1" t="s">
        <v>3244</v>
      </c>
      <c r="F3552" s="1" t="str">
        <f>IFERROR(__xludf.DUMMYFUNCTION("GOOGLETRANSLATE(E3552, ""zh-CN"", ""en"")"),"Silver area")</f>
        <v>Silver area</v>
      </c>
      <c r="G3552" s="1">
        <v>6.20402E11</v>
      </c>
    </row>
    <row r="3553">
      <c r="A3553" s="1" t="s">
        <v>3219</v>
      </c>
      <c r="B3553" s="1" t="str">
        <f>IFERROR(__xludf.DUMMYFUNCTION("GOOGLETRANSLATE(A3479, ""zh-CN"", ""en"")"),"Liaoning Province")</f>
        <v>Liaoning Province</v>
      </c>
      <c r="C3553" s="1" t="s">
        <v>3223</v>
      </c>
      <c r="D3553" s="1" t="str">
        <f>IFERROR(__xludf.DUMMYFUNCTION("GOOGLETRANSLATE(C3553, ""zh-CN"", ""en"")"),"Silver city")</f>
        <v>Silver city</v>
      </c>
      <c r="E3553" s="1" t="s">
        <v>3245</v>
      </c>
      <c r="F3553" s="1" t="str">
        <f>IFERROR(__xludf.DUMMYFUNCTION("GOOGLETRANSLATE(E3553, ""zh-CN"", ""en"")"),"Pingchuan District")</f>
        <v>Pingchuan District</v>
      </c>
      <c r="G3553" s="1">
        <v>6.20403E11</v>
      </c>
    </row>
    <row r="3554">
      <c r="A3554" s="1" t="s">
        <v>3219</v>
      </c>
      <c r="B3554" s="1" t="str">
        <f>IFERROR(__xludf.DUMMYFUNCTION("GOOGLETRANSLATE(A3480, ""zh-CN"", ""en"")"),"Liaoning Province")</f>
        <v>Liaoning Province</v>
      </c>
      <c r="C3554" s="1" t="s">
        <v>3223</v>
      </c>
      <c r="D3554" s="1" t="str">
        <f>IFERROR(__xludf.DUMMYFUNCTION("GOOGLETRANSLATE(C3554, ""zh-CN"", ""en"")"),"Silver city")</f>
        <v>Silver city</v>
      </c>
      <c r="E3554" s="1" t="s">
        <v>3246</v>
      </c>
      <c r="F3554" s="1" t="str">
        <f>IFERROR(__xludf.DUMMYFUNCTION("GOOGLETRANSLATE(E3554, ""zh-CN"", ""en"")"),"Jingyuan County")</f>
        <v>Jingyuan County</v>
      </c>
      <c r="G3554" s="1">
        <v>6.20421E11</v>
      </c>
    </row>
    <row r="3555">
      <c r="A3555" s="1" t="s">
        <v>3219</v>
      </c>
      <c r="B3555" s="1" t="str">
        <f>IFERROR(__xludf.DUMMYFUNCTION("GOOGLETRANSLATE(A3481, ""zh-CN"", ""en"")"),"Liaoning Province")</f>
        <v>Liaoning Province</v>
      </c>
      <c r="C3555" s="1" t="s">
        <v>3223</v>
      </c>
      <c r="D3555" s="1" t="str">
        <f>IFERROR(__xludf.DUMMYFUNCTION("GOOGLETRANSLATE(C3555, ""zh-CN"", ""en"")"),"Silver city")</f>
        <v>Silver city</v>
      </c>
      <c r="E3555" s="1" t="s">
        <v>3247</v>
      </c>
      <c r="F3555" s="1" t="str">
        <f>IFERROR(__xludf.DUMMYFUNCTION("GOOGLETRANSLATE(E3555, ""zh-CN"", ""en"")"),"Huining County")</f>
        <v>Huining County</v>
      </c>
      <c r="G3555" s="1">
        <v>6.20422E11</v>
      </c>
    </row>
    <row r="3556">
      <c r="A3556" s="1" t="s">
        <v>3219</v>
      </c>
      <c r="B3556" s="1" t="str">
        <f>IFERROR(__xludf.DUMMYFUNCTION("GOOGLETRANSLATE(A3482, ""zh-CN"", ""en"")"),"Liaoning Province")</f>
        <v>Liaoning Province</v>
      </c>
      <c r="C3556" s="1" t="s">
        <v>3223</v>
      </c>
      <c r="D3556" s="1" t="str">
        <f>IFERROR(__xludf.DUMMYFUNCTION("GOOGLETRANSLATE(C3556, ""zh-CN"", ""en"")"),"Silver city")</f>
        <v>Silver city</v>
      </c>
      <c r="E3556" s="1" t="s">
        <v>3248</v>
      </c>
      <c r="F3556" s="1" t="str">
        <f>IFERROR(__xludf.DUMMYFUNCTION("GOOGLETRANSLATE(E3556, ""zh-CN"", ""en"")"),"Jingtai County")</f>
        <v>Jingtai County</v>
      </c>
      <c r="G3556" s="1">
        <v>6.20423E11</v>
      </c>
    </row>
    <row r="3557">
      <c r="A3557" s="1" t="s">
        <v>3219</v>
      </c>
      <c r="B3557" s="1" t="str">
        <f>IFERROR(__xludf.DUMMYFUNCTION("GOOGLETRANSLATE(A3483, ""zh-CN"", ""en"")"),"Liaoning Province")</f>
        <v>Liaoning Province</v>
      </c>
      <c r="C3557" s="1" t="s">
        <v>3224</v>
      </c>
      <c r="D3557" s="1" t="str">
        <f>IFERROR(__xludf.DUMMYFUNCTION("GOOGLETRANSLATE(C3557, ""zh-CN"", ""en"")"),"Tianshui")</f>
        <v>Tianshui</v>
      </c>
      <c r="E3557" s="1" t="s">
        <v>24</v>
      </c>
      <c r="F3557" s="1" t="str">
        <f>IFERROR(__xludf.DUMMYFUNCTION("GOOGLETRANSLATE(E3557, ""zh-CN"", ""en"")"),"City area")</f>
        <v>City area</v>
      </c>
      <c r="G3557" s="1">
        <v>6.20501E11</v>
      </c>
    </row>
    <row r="3558">
      <c r="A3558" s="1" t="s">
        <v>3219</v>
      </c>
      <c r="B3558" s="1" t="str">
        <f>IFERROR(__xludf.DUMMYFUNCTION("GOOGLETRANSLATE(A3484, ""zh-CN"", ""en"")"),"Liaoning Province")</f>
        <v>Liaoning Province</v>
      </c>
      <c r="C3558" s="1" t="s">
        <v>3224</v>
      </c>
      <c r="D3558" s="1" t="str">
        <f>IFERROR(__xludf.DUMMYFUNCTION("GOOGLETRANSLATE(C3558, ""zh-CN"", ""en"")"),"Tianshui")</f>
        <v>Tianshui</v>
      </c>
      <c r="E3558" s="1" t="s">
        <v>3249</v>
      </c>
      <c r="F3558" s="1" t="str">
        <f>IFERROR(__xludf.DUMMYFUNCTION("GOOGLETRANSLATE(E3558, ""zh-CN"", ""en"")"),"Qinzhou District")</f>
        <v>Qinzhou District</v>
      </c>
      <c r="G3558" s="1">
        <v>6.20502E11</v>
      </c>
    </row>
    <row r="3559">
      <c r="A3559" s="1" t="s">
        <v>3219</v>
      </c>
      <c r="B3559" s="1" t="str">
        <f>IFERROR(__xludf.DUMMYFUNCTION("GOOGLETRANSLATE(A3485, ""zh-CN"", ""en"")"),"Liaoning Province")</f>
        <v>Liaoning Province</v>
      </c>
      <c r="C3559" s="1" t="s">
        <v>3224</v>
      </c>
      <c r="D3559" s="1" t="str">
        <f>IFERROR(__xludf.DUMMYFUNCTION("GOOGLETRANSLATE(C3559, ""zh-CN"", ""en"")"),"Tianshui")</f>
        <v>Tianshui</v>
      </c>
      <c r="E3559" s="1" t="s">
        <v>3250</v>
      </c>
      <c r="F3559" s="1" t="str">
        <f>IFERROR(__xludf.DUMMYFUNCTION("GOOGLETRANSLATE(E3559, ""zh-CN"", ""en"")"),"Maiji District")</f>
        <v>Maiji District</v>
      </c>
      <c r="G3559" s="1">
        <v>6.20503E11</v>
      </c>
    </row>
    <row r="3560">
      <c r="A3560" s="1" t="s">
        <v>3219</v>
      </c>
      <c r="B3560" s="1" t="str">
        <f>IFERROR(__xludf.DUMMYFUNCTION("GOOGLETRANSLATE(A3486, ""zh-CN"", ""en"")"),"Liaoning Province")</f>
        <v>Liaoning Province</v>
      </c>
      <c r="C3560" s="1" t="s">
        <v>3224</v>
      </c>
      <c r="D3560" s="1" t="str">
        <f>IFERROR(__xludf.DUMMYFUNCTION("GOOGLETRANSLATE(C3560, ""zh-CN"", ""en"")"),"Tianshui")</f>
        <v>Tianshui</v>
      </c>
      <c r="E3560" s="1" t="s">
        <v>3251</v>
      </c>
      <c r="F3560" s="1" t="str">
        <f>IFERROR(__xludf.DUMMYFUNCTION("GOOGLETRANSLATE(E3560, ""zh-CN"", ""en"")"),"Qingshui County")</f>
        <v>Qingshui County</v>
      </c>
      <c r="G3560" s="1">
        <v>6.20521E11</v>
      </c>
    </row>
    <row r="3561">
      <c r="A3561" s="1" t="s">
        <v>3219</v>
      </c>
      <c r="B3561" s="1" t="str">
        <f>IFERROR(__xludf.DUMMYFUNCTION("GOOGLETRANSLATE(A3487, ""zh-CN"", ""en"")"),"Liaoning Province")</f>
        <v>Liaoning Province</v>
      </c>
      <c r="C3561" s="1" t="s">
        <v>3224</v>
      </c>
      <c r="D3561" s="1" t="str">
        <f>IFERROR(__xludf.DUMMYFUNCTION("GOOGLETRANSLATE(C3561, ""zh-CN"", ""en"")"),"Tianshui")</f>
        <v>Tianshui</v>
      </c>
      <c r="E3561" s="1" t="s">
        <v>3252</v>
      </c>
      <c r="F3561" s="1" t="str">
        <f>IFERROR(__xludf.DUMMYFUNCTION("GOOGLETRANSLATE(E3561, ""zh-CN"", ""en"")"),"Qin'an County")</f>
        <v>Qin'an County</v>
      </c>
      <c r="G3561" s="1">
        <v>6.20522E11</v>
      </c>
    </row>
    <row r="3562">
      <c r="A3562" s="1" t="s">
        <v>3219</v>
      </c>
      <c r="B3562" s="1" t="str">
        <f>IFERROR(__xludf.DUMMYFUNCTION("GOOGLETRANSLATE(A3488, ""zh-CN"", ""en"")"),"Liaoning Province")</f>
        <v>Liaoning Province</v>
      </c>
      <c r="C3562" s="1" t="s">
        <v>3224</v>
      </c>
      <c r="D3562" s="1" t="str">
        <f>IFERROR(__xludf.DUMMYFUNCTION("GOOGLETRANSLATE(C3562, ""zh-CN"", ""en"")"),"Tianshui")</f>
        <v>Tianshui</v>
      </c>
      <c r="E3562" s="1" t="s">
        <v>3253</v>
      </c>
      <c r="F3562" s="1" t="str">
        <f>IFERROR(__xludf.DUMMYFUNCTION("GOOGLETRANSLATE(E3562, ""zh-CN"", ""en"")"),"Gangu County")</f>
        <v>Gangu County</v>
      </c>
      <c r="G3562" s="1">
        <v>6.20523E11</v>
      </c>
    </row>
    <row r="3563">
      <c r="A3563" s="1" t="s">
        <v>3219</v>
      </c>
      <c r="B3563" s="1" t="str">
        <f>IFERROR(__xludf.DUMMYFUNCTION("GOOGLETRANSLATE(A3489, ""zh-CN"", ""en"")"),"Liaoning Province")</f>
        <v>Liaoning Province</v>
      </c>
      <c r="C3563" s="1" t="s">
        <v>3224</v>
      </c>
      <c r="D3563" s="1" t="str">
        <f>IFERROR(__xludf.DUMMYFUNCTION("GOOGLETRANSLATE(C3563, ""zh-CN"", ""en"")"),"Tianshui")</f>
        <v>Tianshui</v>
      </c>
      <c r="E3563" s="1" t="s">
        <v>3254</v>
      </c>
      <c r="F3563" s="1" t="str">
        <f>IFERROR(__xludf.DUMMYFUNCTION("GOOGLETRANSLATE(E3563, ""zh-CN"", ""en"")"),"Wushan County")</f>
        <v>Wushan County</v>
      </c>
      <c r="G3563" s="1">
        <v>6.20524E11</v>
      </c>
    </row>
    <row r="3564">
      <c r="A3564" s="1" t="s">
        <v>3219</v>
      </c>
      <c r="B3564" s="1" t="str">
        <f>IFERROR(__xludf.DUMMYFUNCTION("GOOGLETRANSLATE(A3490, ""zh-CN"", ""en"")"),"Liaoning Province")</f>
        <v>Liaoning Province</v>
      </c>
      <c r="C3564" s="1" t="s">
        <v>3224</v>
      </c>
      <c r="D3564" s="1" t="str">
        <f>IFERROR(__xludf.DUMMYFUNCTION("GOOGLETRANSLATE(C3564, ""zh-CN"", ""en"")"),"Tianshui")</f>
        <v>Tianshui</v>
      </c>
      <c r="E3564" s="1" t="s">
        <v>3255</v>
      </c>
      <c r="F3564" s="1" t="str">
        <f>IFERROR(__xludf.DUMMYFUNCTION("GOOGLETRANSLATE(E3564, ""zh-CN"", ""en"")"),"Zhangjiachuan Hui Autonomous County")</f>
        <v>Zhangjiachuan Hui Autonomous County</v>
      </c>
      <c r="G3564" s="1">
        <v>6.20525E11</v>
      </c>
    </row>
    <row r="3565">
      <c r="A3565" s="1" t="s">
        <v>3219</v>
      </c>
      <c r="B3565" s="1" t="str">
        <f>IFERROR(__xludf.DUMMYFUNCTION("GOOGLETRANSLATE(A3491, ""zh-CN"", ""en"")"),"Liaoning Province")</f>
        <v>Liaoning Province</v>
      </c>
      <c r="C3565" s="1" t="s">
        <v>3225</v>
      </c>
      <c r="D3565" s="1" t="str">
        <f>IFERROR(__xludf.DUMMYFUNCTION("GOOGLETRANSLATE(C3565, ""zh-CN"", ""en"")"),"Wuwei City")</f>
        <v>Wuwei City</v>
      </c>
      <c r="E3565" s="1" t="s">
        <v>24</v>
      </c>
      <c r="F3565" s="1" t="str">
        <f>IFERROR(__xludf.DUMMYFUNCTION("GOOGLETRANSLATE(E3565, ""zh-CN"", ""en"")"),"City area")</f>
        <v>City area</v>
      </c>
      <c r="G3565" s="1">
        <v>6.20601E11</v>
      </c>
    </row>
    <row r="3566">
      <c r="A3566" s="1" t="s">
        <v>3219</v>
      </c>
      <c r="B3566" s="1" t="str">
        <f>IFERROR(__xludf.DUMMYFUNCTION("GOOGLETRANSLATE(A3492, ""zh-CN"", ""en"")"),"Liaoning Province")</f>
        <v>Liaoning Province</v>
      </c>
      <c r="C3566" s="1" t="s">
        <v>3225</v>
      </c>
      <c r="D3566" s="1" t="str">
        <f>IFERROR(__xludf.DUMMYFUNCTION("GOOGLETRANSLATE(C3566, ""zh-CN"", ""en"")"),"Wuwei City")</f>
        <v>Wuwei City</v>
      </c>
      <c r="E3566" s="1" t="s">
        <v>3256</v>
      </c>
      <c r="F3566" s="1" t="str">
        <f>IFERROR(__xludf.DUMMYFUNCTION("GOOGLETRANSLATE(E3566, ""zh-CN"", ""en"")"),"Liangzhou District")</f>
        <v>Liangzhou District</v>
      </c>
      <c r="G3566" s="1">
        <v>6.20602E11</v>
      </c>
    </row>
    <row r="3567">
      <c r="A3567" s="1" t="s">
        <v>3219</v>
      </c>
      <c r="B3567" s="1" t="str">
        <f>IFERROR(__xludf.DUMMYFUNCTION("GOOGLETRANSLATE(A3493, ""zh-CN"", ""en"")"),"Liaoning Province")</f>
        <v>Liaoning Province</v>
      </c>
      <c r="C3567" s="1" t="s">
        <v>3225</v>
      </c>
      <c r="D3567" s="1" t="str">
        <f>IFERROR(__xludf.DUMMYFUNCTION("GOOGLETRANSLATE(C3567, ""zh-CN"", ""en"")"),"Wuwei City")</f>
        <v>Wuwei City</v>
      </c>
      <c r="E3567" s="1" t="s">
        <v>3257</v>
      </c>
      <c r="F3567" s="1" t="str">
        <f>IFERROR(__xludf.DUMMYFUNCTION("GOOGLETRANSLATE(E3567, ""zh-CN"", ""en"")"),"Minqin County")</f>
        <v>Minqin County</v>
      </c>
      <c r="G3567" s="1">
        <v>6.20621E11</v>
      </c>
    </row>
    <row r="3568">
      <c r="A3568" s="1" t="s">
        <v>3219</v>
      </c>
      <c r="B3568" s="1" t="str">
        <f>IFERROR(__xludf.DUMMYFUNCTION("GOOGLETRANSLATE(A3494, ""zh-CN"", ""en"")"),"Liaoning Province")</f>
        <v>Liaoning Province</v>
      </c>
      <c r="C3568" s="1" t="s">
        <v>3225</v>
      </c>
      <c r="D3568" s="1" t="str">
        <f>IFERROR(__xludf.DUMMYFUNCTION("GOOGLETRANSLATE(C3568, ""zh-CN"", ""en"")"),"Wuwei City")</f>
        <v>Wuwei City</v>
      </c>
      <c r="E3568" s="1" t="s">
        <v>3258</v>
      </c>
      <c r="F3568" s="1" t="str">
        <f>IFERROR(__xludf.DUMMYFUNCTION("GOOGLETRANSLATE(E3568, ""zh-CN"", ""en"")"),"Gulang County")</f>
        <v>Gulang County</v>
      </c>
      <c r="G3568" s="1">
        <v>6.20622E11</v>
      </c>
    </row>
    <row r="3569">
      <c r="A3569" s="1" t="s">
        <v>3219</v>
      </c>
      <c r="B3569" s="1" t="str">
        <f>IFERROR(__xludf.DUMMYFUNCTION("GOOGLETRANSLATE(A3495, ""zh-CN"", ""en"")"),"Liaoning Province")</f>
        <v>Liaoning Province</v>
      </c>
      <c r="C3569" s="1" t="s">
        <v>3225</v>
      </c>
      <c r="D3569" s="1" t="str">
        <f>IFERROR(__xludf.DUMMYFUNCTION("GOOGLETRANSLATE(C3569, ""zh-CN"", ""en"")"),"Wuwei City")</f>
        <v>Wuwei City</v>
      </c>
      <c r="E3569" s="1" t="s">
        <v>3259</v>
      </c>
      <c r="F3569" s="1" t="str">
        <f>IFERROR(__xludf.DUMMYFUNCTION("GOOGLETRANSLATE(E3569, ""zh-CN"", ""en"")"),"Tianzhu Tibetan Autonomous County")</f>
        <v>Tianzhu Tibetan Autonomous County</v>
      </c>
      <c r="G3569" s="1">
        <v>6.20623E11</v>
      </c>
    </row>
    <row r="3570">
      <c r="A3570" s="1" t="s">
        <v>3219</v>
      </c>
      <c r="B3570" s="1" t="str">
        <f>IFERROR(__xludf.DUMMYFUNCTION("GOOGLETRANSLATE(A3496, ""zh-CN"", ""en"")"),"Liaoning Province")</f>
        <v>Liaoning Province</v>
      </c>
      <c r="C3570" s="1" t="s">
        <v>3226</v>
      </c>
      <c r="D3570" s="1" t="str">
        <f>IFERROR(__xludf.DUMMYFUNCTION("GOOGLETRANSLATE(C3570, ""zh-CN"", ""en"")"),"Zhangye City")</f>
        <v>Zhangye City</v>
      </c>
      <c r="E3570" s="1" t="s">
        <v>24</v>
      </c>
      <c r="F3570" s="1" t="str">
        <f>IFERROR(__xludf.DUMMYFUNCTION("GOOGLETRANSLATE(E3570, ""zh-CN"", ""en"")"),"City area")</f>
        <v>City area</v>
      </c>
      <c r="G3570" s="1">
        <v>6.20701E11</v>
      </c>
    </row>
    <row r="3571">
      <c r="A3571" s="1" t="s">
        <v>3219</v>
      </c>
      <c r="B3571" s="1" t="str">
        <f>IFERROR(__xludf.DUMMYFUNCTION("GOOGLETRANSLATE(A3497, ""zh-CN"", ""en"")"),"Liaoning Province")</f>
        <v>Liaoning Province</v>
      </c>
      <c r="C3571" s="1" t="s">
        <v>3226</v>
      </c>
      <c r="D3571" s="1" t="str">
        <f>IFERROR(__xludf.DUMMYFUNCTION("GOOGLETRANSLATE(C3571, ""zh-CN"", ""en"")"),"Zhangye City")</f>
        <v>Zhangye City</v>
      </c>
      <c r="E3571" s="1" t="s">
        <v>3260</v>
      </c>
      <c r="F3571" s="1" t="str">
        <f>IFERROR(__xludf.DUMMYFUNCTION("GOOGLETRANSLATE(E3571, ""zh-CN"", ""en"")"),"Ganzhou District")</f>
        <v>Ganzhou District</v>
      </c>
      <c r="G3571" s="1">
        <v>6.20702E11</v>
      </c>
    </row>
    <row r="3572">
      <c r="A3572" s="1" t="s">
        <v>3219</v>
      </c>
      <c r="B3572" s="1" t="str">
        <f>IFERROR(__xludf.DUMMYFUNCTION("GOOGLETRANSLATE(A3498, ""zh-CN"", ""en"")"),"Liaoning Province")</f>
        <v>Liaoning Province</v>
      </c>
      <c r="C3572" s="1" t="s">
        <v>3226</v>
      </c>
      <c r="D3572" s="1" t="str">
        <f>IFERROR(__xludf.DUMMYFUNCTION("GOOGLETRANSLATE(C3572, ""zh-CN"", ""en"")"),"Zhangye City")</f>
        <v>Zhangye City</v>
      </c>
      <c r="E3572" s="1" t="s">
        <v>3261</v>
      </c>
      <c r="F3572" s="1" t="str">
        <f>IFERROR(__xludf.DUMMYFUNCTION("GOOGLETRANSLATE(E3572, ""zh-CN"", ""en"")"),"Su Nan Yugu Autonomous County")</f>
        <v>Su Nan Yugu Autonomous County</v>
      </c>
      <c r="G3572" s="1">
        <v>6.20721E11</v>
      </c>
    </row>
    <row r="3573">
      <c r="A3573" s="1" t="s">
        <v>3219</v>
      </c>
      <c r="B3573" s="1" t="str">
        <f>IFERROR(__xludf.DUMMYFUNCTION("GOOGLETRANSLATE(A3499, ""zh-CN"", ""en"")"),"Liaoning Province")</f>
        <v>Liaoning Province</v>
      </c>
      <c r="C3573" s="1" t="s">
        <v>3226</v>
      </c>
      <c r="D3573" s="1" t="str">
        <f>IFERROR(__xludf.DUMMYFUNCTION("GOOGLETRANSLATE(C3573, ""zh-CN"", ""en"")"),"Zhangye City")</f>
        <v>Zhangye City</v>
      </c>
      <c r="E3573" s="1" t="s">
        <v>3262</v>
      </c>
      <c r="F3573" s="1" t="str">
        <f>IFERROR(__xludf.DUMMYFUNCTION("GOOGLETRANSLATE(E3573, ""zh-CN"", ""en"")"),"Minle County")</f>
        <v>Minle County</v>
      </c>
      <c r="G3573" s="1">
        <v>6.20722E11</v>
      </c>
    </row>
    <row r="3574">
      <c r="A3574" s="1" t="s">
        <v>3219</v>
      </c>
      <c r="B3574" s="1" t="str">
        <f>IFERROR(__xludf.DUMMYFUNCTION("GOOGLETRANSLATE(A3500, ""zh-CN"", ""en"")"),"Liaoning Province")</f>
        <v>Liaoning Province</v>
      </c>
      <c r="C3574" s="1" t="s">
        <v>3226</v>
      </c>
      <c r="D3574" s="1" t="str">
        <f>IFERROR(__xludf.DUMMYFUNCTION("GOOGLETRANSLATE(C3574, ""zh-CN"", ""en"")"),"Zhangye City")</f>
        <v>Zhangye City</v>
      </c>
      <c r="E3574" s="1" t="s">
        <v>3263</v>
      </c>
      <c r="F3574" s="1" t="str">
        <f>IFERROR(__xludf.DUMMYFUNCTION("GOOGLETRANSLATE(E3574, ""zh-CN"", ""en"")"),"Linze County")</f>
        <v>Linze County</v>
      </c>
      <c r="G3574" s="1">
        <v>6.20723E11</v>
      </c>
    </row>
    <row r="3575">
      <c r="A3575" s="1" t="s">
        <v>3219</v>
      </c>
      <c r="B3575" s="1" t="str">
        <f>IFERROR(__xludf.DUMMYFUNCTION("GOOGLETRANSLATE(A3501, ""zh-CN"", ""en"")"),"Liaoning Province")</f>
        <v>Liaoning Province</v>
      </c>
      <c r="C3575" s="1" t="s">
        <v>3226</v>
      </c>
      <c r="D3575" s="1" t="str">
        <f>IFERROR(__xludf.DUMMYFUNCTION("GOOGLETRANSLATE(C3575, ""zh-CN"", ""en"")"),"Zhangye City")</f>
        <v>Zhangye City</v>
      </c>
      <c r="E3575" s="1" t="s">
        <v>3264</v>
      </c>
      <c r="F3575" s="1" t="str">
        <f>IFERROR(__xludf.DUMMYFUNCTION("GOOGLETRANSLATE(E3575, ""zh-CN"", ""en"")"),"Gaotai County")</f>
        <v>Gaotai County</v>
      </c>
      <c r="G3575" s="1">
        <v>6.20724E11</v>
      </c>
    </row>
    <row r="3576">
      <c r="A3576" s="1" t="s">
        <v>3219</v>
      </c>
      <c r="B3576" s="1" t="str">
        <f>IFERROR(__xludf.DUMMYFUNCTION("GOOGLETRANSLATE(A3502, ""zh-CN"", ""en"")"),"Liaoning Province")</f>
        <v>Liaoning Province</v>
      </c>
      <c r="C3576" s="1" t="s">
        <v>3226</v>
      </c>
      <c r="D3576" s="1" t="str">
        <f>IFERROR(__xludf.DUMMYFUNCTION("GOOGLETRANSLATE(C3576, ""zh-CN"", ""en"")"),"Zhangye City")</f>
        <v>Zhangye City</v>
      </c>
      <c r="E3576" s="1" t="s">
        <v>3265</v>
      </c>
      <c r="F3576" s="1" t="str">
        <f>IFERROR(__xludf.DUMMYFUNCTION("GOOGLETRANSLATE(E3576, ""zh-CN"", ""en"")"),"Shandan County")</f>
        <v>Shandan County</v>
      </c>
      <c r="G3576" s="1">
        <v>6.20725E11</v>
      </c>
    </row>
    <row r="3577">
      <c r="A3577" s="1" t="s">
        <v>3219</v>
      </c>
      <c r="B3577" s="1" t="str">
        <f>IFERROR(__xludf.DUMMYFUNCTION("GOOGLETRANSLATE(A3503, ""zh-CN"", ""en"")"),"Liaoning Province")</f>
        <v>Liaoning Province</v>
      </c>
      <c r="C3577" s="1" t="s">
        <v>3227</v>
      </c>
      <c r="D3577" s="1" t="str">
        <f>IFERROR(__xludf.DUMMYFUNCTION("GOOGLETRANSLATE(C3577, ""zh-CN"", ""en"")"),"Pingliang City")</f>
        <v>Pingliang City</v>
      </c>
      <c r="E3577" s="1" t="s">
        <v>24</v>
      </c>
      <c r="F3577" s="1" t="str">
        <f>IFERROR(__xludf.DUMMYFUNCTION("GOOGLETRANSLATE(E3577, ""zh-CN"", ""en"")"),"City area")</f>
        <v>City area</v>
      </c>
      <c r="G3577" s="1">
        <v>6.20801E11</v>
      </c>
    </row>
    <row r="3578">
      <c r="A3578" s="1" t="s">
        <v>3219</v>
      </c>
      <c r="B3578" s="1" t="str">
        <f>IFERROR(__xludf.DUMMYFUNCTION("GOOGLETRANSLATE(A3504, ""zh-CN"", ""en"")"),"Liaoning Province")</f>
        <v>Liaoning Province</v>
      </c>
      <c r="C3578" s="1" t="s">
        <v>3227</v>
      </c>
      <c r="D3578" s="1" t="str">
        <f>IFERROR(__xludf.DUMMYFUNCTION("GOOGLETRANSLATE(C3578, ""zh-CN"", ""en"")"),"Pingliang City")</f>
        <v>Pingliang City</v>
      </c>
      <c r="E3578" s="1" t="s">
        <v>3266</v>
      </c>
      <c r="F3578" s="1" t="str">
        <f>IFERROR(__xludf.DUMMYFUNCTION("GOOGLETRANSLATE(E3578, ""zh-CN"", ""en"")"),"District")</f>
        <v>District</v>
      </c>
      <c r="G3578" s="1">
        <v>6.20802E11</v>
      </c>
    </row>
    <row r="3579">
      <c r="A3579" s="1" t="s">
        <v>3219</v>
      </c>
      <c r="B3579" s="1" t="str">
        <f>IFERROR(__xludf.DUMMYFUNCTION("GOOGLETRANSLATE(A3505, ""zh-CN"", ""en"")"),"Liaoning Province")</f>
        <v>Liaoning Province</v>
      </c>
      <c r="C3579" s="1" t="s">
        <v>3227</v>
      </c>
      <c r="D3579" s="1" t="str">
        <f>IFERROR(__xludf.DUMMYFUNCTION("GOOGLETRANSLATE(C3579, ""zh-CN"", ""en"")"),"Pingliang City")</f>
        <v>Pingliang City</v>
      </c>
      <c r="E3579" s="1" t="s">
        <v>3267</v>
      </c>
      <c r="F3579" s="1" t="str">
        <f>IFERROR(__xludf.DUMMYFUNCTION("GOOGLETRANSLATE(E3579, ""zh-CN"", ""en"")"),"Xichuan County")</f>
        <v>Xichuan County</v>
      </c>
      <c r="G3579" s="1">
        <v>6.20821E11</v>
      </c>
    </row>
    <row r="3580">
      <c r="A3580" s="1" t="s">
        <v>3219</v>
      </c>
      <c r="B3580" s="1" t="str">
        <f>IFERROR(__xludf.DUMMYFUNCTION("GOOGLETRANSLATE(A3506, ""zh-CN"", ""en"")"),"Liaoning Province")</f>
        <v>Liaoning Province</v>
      </c>
      <c r="C3580" s="1" t="s">
        <v>3227</v>
      </c>
      <c r="D3580" s="1" t="str">
        <f>IFERROR(__xludf.DUMMYFUNCTION("GOOGLETRANSLATE(C3580, ""zh-CN"", ""en"")"),"Pingliang City")</f>
        <v>Pingliang City</v>
      </c>
      <c r="E3580" s="1" t="s">
        <v>3268</v>
      </c>
      <c r="F3580" s="1" t="str">
        <f>IFERROR(__xludf.DUMMYFUNCTION("GOOGLETRANSLATE(E3580, ""zh-CN"", ""en"")"),"Lingtai County")</f>
        <v>Lingtai County</v>
      </c>
      <c r="G3580" s="1">
        <v>6.20822E11</v>
      </c>
    </row>
    <row r="3581">
      <c r="A3581" s="1" t="s">
        <v>3219</v>
      </c>
      <c r="B3581" s="1" t="str">
        <f>IFERROR(__xludf.DUMMYFUNCTION("GOOGLETRANSLATE(A3507, ""zh-CN"", ""en"")"),"Liaoning Province")</f>
        <v>Liaoning Province</v>
      </c>
      <c r="C3581" s="1" t="s">
        <v>3227</v>
      </c>
      <c r="D3581" s="1" t="str">
        <f>IFERROR(__xludf.DUMMYFUNCTION("GOOGLETRANSLATE(C3581, ""zh-CN"", ""en"")"),"Pingliang City")</f>
        <v>Pingliang City</v>
      </c>
      <c r="E3581" s="1" t="s">
        <v>3269</v>
      </c>
      <c r="F3581" s="1" t="str">
        <f>IFERROR(__xludf.DUMMYFUNCTION("GOOGLETRANSLATE(E3581, ""zh-CN"", ""en"")"),"Chongxin County")</f>
        <v>Chongxin County</v>
      </c>
      <c r="G3581" s="1">
        <v>6.20823E11</v>
      </c>
    </row>
    <row r="3582">
      <c r="A3582" s="1" t="s">
        <v>3219</v>
      </c>
      <c r="B3582" s="1" t="str">
        <f>IFERROR(__xludf.DUMMYFUNCTION("GOOGLETRANSLATE(A3508, ""zh-CN"", ""en"")"),"Liaoning Province")</f>
        <v>Liaoning Province</v>
      </c>
      <c r="C3582" s="1" t="s">
        <v>3227</v>
      </c>
      <c r="D3582" s="1" t="str">
        <f>IFERROR(__xludf.DUMMYFUNCTION("GOOGLETRANSLATE(C3582, ""zh-CN"", ""en"")"),"Pingliang City")</f>
        <v>Pingliang City</v>
      </c>
      <c r="E3582" s="1" t="s">
        <v>3270</v>
      </c>
      <c r="F3582" s="1" t="str">
        <f>IFERROR(__xludf.DUMMYFUNCTION("GOOGLETRANSLATE(E3582, ""zh-CN"", ""en"")"),"Zhuanglang County")</f>
        <v>Zhuanglang County</v>
      </c>
      <c r="G3582" s="1">
        <v>6.20825E11</v>
      </c>
    </row>
    <row r="3583">
      <c r="A3583" s="1" t="s">
        <v>3219</v>
      </c>
      <c r="B3583" s="1" t="str">
        <f>IFERROR(__xludf.DUMMYFUNCTION("GOOGLETRANSLATE(A3509, ""zh-CN"", ""en"")"),"Liaoning Province")</f>
        <v>Liaoning Province</v>
      </c>
      <c r="C3583" s="1" t="s">
        <v>3227</v>
      </c>
      <c r="D3583" s="1" t="str">
        <f>IFERROR(__xludf.DUMMYFUNCTION("GOOGLETRANSLATE(C3583, ""zh-CN"", ""en"")"),"Pingliang City")</f>
        <v>Pingliang City</v>
      </c>
      <c r="E3583" s="1" t="s">
        <v>3271</v>
      </c>
      <c r="F3583" s="1" t="str">
        <f>IFERROR(__xludf.DUMMYFUNCTION("GOOGLETRANSLATE(E3583, ""zh-CN"", ""en"")"),"Jingning County")</f>
        <v>Jingning County</v>
      </c>
      <c r="G3583" s="1">
        <v>6.20826E11</v>
      </c>
    </row>
    <row r="3584">
      <c r="A3584" s="1" t="s">
        <v>3219</v>
      </c>
      <c r="B3584" s="1" t="str">
        <f>IFERROR(__xludf.DUMMYFUNCTION("GOOGLETRANSLATE(A3510, ""zh-CN"", ""en"")"),"Liaoning Province")</f>
        <v>Liaoning Province</v>
      </c>
      <c r="C3584" s="1" t="s">
        <v>3227</v>
      </c>
      <c r="D3584" s="1" t="str">
        <f>IFERROR(__xludf.DUMMYFUNCTION("GOOGLETRANSLATE(C3584, ""zh-CN"", ""en"")"),"Pingliang City")</f>
        <v>Pingliang City</v>
      </c>
      <c r="E3584" s="1" t="s">
        <v>3272</v>
      </c>
      <c r="F3584" s="1" t="str">
        <f>IFERROR(__xludf.DUMMYFUNCTION("GOOGLETRANSLATE(E3584, ""zh-CN"", ""en"")"),"Huating City")</f>
        <v>Huating City</v>
      </c>
      <c r="G3584" s="1">
        <v>6.20881E11</v>
      </c>
    </row>
    <row r="3585">
      <c r="A3585" s="1" t="s">
        <v>3219</v>
      </c>
      <c r="B3585" s="1" t="str">
        <f>IFERROR(__xludf.DUMMYFUNCTION("GOOGLETRANSLATE(A3511, ""zh-CN"", ""en"")"),"Liaoning Province")</f>
        <v>Liaoning Province</v>
      </c>
      <c r="C3585" s="1" t="s">
        <v>3228</v>
      </c>
      <c r="D3585" s="1" t="str">
        <f>IFERROR(__xludf.DUMMYFUNCTION("GOOGLETRANSLATE(C3585, ""zh-CN"", ""en"")"),"Jiuquan City")</f>
        <v>Jiuquan City</v>
      </c>
      <c r="E3585" s="1" t="s">
        <v>24</v>
      </c>
      <c r="F3585" s="1" t="str">
        <f>IFERROR(__xludf.DUMMYFUNCTION("GOOGLETRANSLATE(E3585, ""zh-CN"", ""en"")"),"City area")</f>
        <v>City area</v>
      </c>
      <c r="G3585" s="1">
        <v>6.20901E11</v>
      </c>
    </row>
    <row r="3586">
      <c r="A3586" s="1" t="s">
        <v>3219</v>
      </c>
      <c r="B3586" s="1" t="str">
        <f>IFERROR(__xludf.DUMMYFUNCTION("GOOGLETRANSLATE(A3512, ""zh-CN"", ""en"")"),"Liaoning Province")</f>
        <v>Liaoning Province</v>
      </c>
      <c r="C3586" s="1" t="s">
        <v>3228</v>
      </c>
      <c r="D3586" s="1" t="str">
        <f>IFERROR(__xludf.DUMMYFUNCTION("GOOGLETRANSLATE(C3586, ""zh-CN"", ""en"")"),"Jiuquan City")</f>
        <v>Jiuquan City</v>
      </c>
      <c r="E3586" s="1" t="s">
        <v>3273</v>
      </c>
      <c r="F3586" s="1" t="str">
        <f>IFERROR(__xludf.DUMMYFUNCTION("GOOGLETRANSLATE(E3586, ""zh-CN"", ""en"")"),"Suzhou District")</f>
        <v>Suzhou District</v>
      </c>
      <c r="G3586" s="1">
        <v>6.20902E11</v>
      </c>
    </row>
    <row r="3587">
      <c r="A3587" s="1" t="s">
        <v>3219</v>
      </c>
      <c r="B3587" s="1" t="str">
        <f>IFERROR(__xludf.DUMMYFUNCTION("GOOGLETRANSLATE(A3513, ""zh-CN"", ""en"")"),"Liaoning Province")</f>
        <v>Liaoning Province</v>
      </c>
      <c r="C3587" s="1" t="s">
        <v>3228</v>
      </c>
      <c r="D3587" s="1" t="str">
        <f>IFERROR(__xludf.DUMMYFUNCTION("GOOGLETRANSLATE(C3587, ""zh-CN"", ""en"")"),"Jiuquan City")</f>
        <v>Jiuquan City</v>
      </c>
      <c r="E3587" s="1" t="s">
        <v>3274</v>
      </c>
      <c r="F3587" s="1" t="str">
        <f>IFERROR(__xludf.DUMMYFUNCTION("GOOGLETRANSLATE(E3587, ""zh-CN"", ""en"")"),"Jinda County")</f>
        <v>Jinda County</v>
      </c>
      <c r="G3587" s="1">
        <v>6.20921E11</v>
      </c>
    </row>
    <row r="3588">
      <c r="A3588" s="1" t="s">
        <v>3219</v>
      </c>
      <c r="B3588" s="1" t="str">
        <f>IFERROR(__xludf.DUMMYFUNCTION("GOOGLETRANSLATE(A3514, ""zh-CN"", ""en"")"),"Liaoning Province")</f>
        <v>Liaoning Province</v>
      </c>
      <c r="C3588" s="1" t="s">
        <v>3228</v>
      </c>
      <c r="D3588" s="1" t="str">
        <f>IFERROR(__xludf.DUMMYFUNCTION("GOOGLETRANSLATE(C3588, ""zh-CN"", ""en"")"),"Jiuquan City")</f>
        <v>Jiuquan City</v>
      </c>
      <c r="E3588" s="1" t="s">
        <v>3275</v>
      </c>
      <c r="F3588" s="1" t="str">
        <f>IFERROR(__xludf.DUMMYFUNCTION("GOOGLETRANSLATE(E3588, ""zh-CN"", ""en"")"),"Guazhou County")</f>
        <v>Guazhou County</v>
      </c>
      <c r="G3588" s="1">
        <v>6.20922E11</v>
      </c>
    </row>
    <row r="3589">
      <c r="A3589" s="1" t="s">
        <v>3219</v>
      </c>
      <c r="B3589" s="1" t="str">
        <f>IFERROR(__xludf.DUMMYFUNCTION("GOOGLETRANSLATE(A3515, ""zh-CN"", ""en"")"),"Liaoning Province")</f>
        <v>Liaoning Province</v>
      </c>
      <c r="C3589" s="1" t="s">
        <v>3228</v>
      </c>
      <c r="D3589" s="1" t="str">
        <f>IFERROR(__xludf.DUMMYFUNCTION("GOOGLETRANSLATE(C3589, ""zh-CN"", ""en"")"),"Jiuquan City")</f>
        <v>Jiuquan City</v>
      </c>
      <c r="E3589" s="1" t="s">
        <v>3276</v>
      </c>
      <c r="F3589" s="1" t="str">
        <f>IFERROR(__xludf.DUMMYFUNCTION("GOOGLETRANSLATE(E3589, ""zh-CN"", ""en"")"),"Subei Mongolian Autonomous County")</f>
        <v>Subei Mongolian Autonomous County</v>
      </c>
      <c r="G3589" s="1">
        <v>6.20923E11</v>
      </c>
    </row>
    <row r="3590">
      <c r="A3590" s="1" t="s">
        <v>3219</v>
      </c>
      <c r="B3590" s="1" t="str">
        <f>IFERROR(__xludf.DUMMYFUNCTION("GOOGLETRANSLATE(A3516, ""zh-CN"", ""en"")"),"Liaoning Province")</f>
        <v>Liaoning Province</v>
      </c>
      <c r="C3590" s="1" t="s">
        <v>3228</v>
      </c>
      <c r="D3590" s="1" t="str">
        <f>IFERROR(__xludf.DUMMYFUNCTION("GOOGLETRANSLATE(C3590, ""zh-CN"", ""en"")"),"Jiuquan City")</f>
        <v>Jiuquan City</v>
      </c>
      <c r="E3590" s="1" t="s">
        <v>3277</v>
      </c>
      <c r="F3590" s="1" t="str">
        <f>IFERROR(__xludf.DUMMYFUNCTION("GOOGLETRANSLATE(E3590, ""zh-CN"", ""en"")"),"Aksachabak Autonomous County")</f>
        <v>Aksachabak Autonomous County</v>
      </c>
      <c r="G3590" s="1">
        <v>6.20924E11</v>
      </c>
    </row>
    <row r="3591">
      <c r="A3591" s="1" t="s">
        <v>3219</v>
      </c>
      <c r="B3591" s="1" t="str">
        <f>IFERROR(__xludf.DUMMYFUNCTION("GOOGLETRANSLATE(A3517, ""zh-CN"", ""en"")"),"Liaoning Province")</f>
        <v>Liaoning Province</v>
      </c>
      <c r="C3591" s="1" t="s">
        <v>3228</v>
      </c>
      <c r="D3591" s="1" t="str">
        <f>IFERROR(__xludf.DUMMYFUNCTION("GOOGLETRANSLATE(C3591, ""zh-CN"", ""en"")"),"Jiuquan City")</f>
        <v>Jiuquan City</v>
      </c>
      <c r="E3591" s="1" t="s">
        <v>3278</v>
      </c>
      <c r="F3591" s="1" t="str">
        <f>IFERROR(__xludf.DUMMYFUNCTION("GOOGLETRANSLATE(E3591, ""zh-CN"", ""en"")"),"Yumen City")</f>
        <v>Yumen City</v>
      </c>
      <c r="G3591" s="1">
        <v>6.20981E11</v>
      </c>
    </row>
    <row r="3592">
      <c r="A3592" s="1" t="s">
        <v>3219</v>
      </c>
      <c r="B3592" s="1" t="str">
        <f>IFERROR(__xludf.DUMMYFUNCTION("GOOGLETRANSLATE(A3518, ""zh-CN"", ""en"")"),"Liaoning Province")</f>
        <v>Liaoning Province</v>
      </c>
      <c r="C3592" s="1" t="s">
        <v>3228</v>
      </c>
      <c r="D3592" s="1" t="str">
        <f>IFERROR(__xludf.DUMMYFUNCTION("GOOGLETRANSLATE(C3592, ""zh-CN"", ""en"")"),"Jiuquan City")</f>
        <v>Jiuquan City</v>
      </c>
      <c r="E3592" s="1" t="s">
        <v>3279</v>
      </c>
      <c r="F3592" s="1" t="str">
        <f>IFERROR(__xludf.DUMMYFUNCTION("GOOGLETRANSLATE(E3592, ""zh-CN"", ""en"")"),"Dunhuang City")</f>
        <v>Dunhuang City</v>
      </c>
      <c r="G3592" s="1">
        <v>6.20982E11</v>
      </c>
    </row>
    <row r="3593">
      <c r="A3593" s="1" t="s">
        <v>3219</v>
      </c>
      <c r="B3593" s="1" t="str">
        <f>IFERROR(__xludf.DUMMYFUNCTION("GOOGLETRANSLATE(A3519, ""zh-CN"", ""en"")"),"Liaoning Province")</f>
        <v>Liaoning Province</v>
      </c>
      <c r="C3593" s="1" t="s">
        <v>3229</v>
      </c>
      <c r="D3593" s="1" t="str">
        <f>IFERROR(__xludf.DUMMYFUNCTION("GOOGLETRANSLATE(C3593, ""zh-CN"", ""en"")"),"Qingyang City")</f>
        <v>Qingyang City</v>
      </c>
      <c r="E3593" s="1" t="s">
        <v>24</v>
      </c>
      <c r="F3593" s="1" t="str">
        <f>IFERROR(__xludf.DUMMYFUNCTION("GOOGLETRANSLATE(E3593, ""zh-CN"", ""en"")"),"City area")</f>
        <v>City area</v>
      </c>
      <c r="G3593" s="1">
        <v>6.21001E11</v>
      </c>
    </row>
    <row r="3594">
      <c r="A3594" s="1" t="s">
        <v>3219</v>
      </c>
      <c r="B3594" s="1" t="str">
        <f>IFERROR(__xludf.DUMMYFUNCTION("GOOGLETRANSLATE(A3520, ""zh-CN"", ""en"")"),"Liaoning Province")</f>
        <v>Liaoning Province</v>
      </c>
      <c r="C3594" s="1" t="s">
        <v>3229</v>
      </c>
      <c r="D3594" s="1" t="str">
        <f>IFERROR(__xludf.DUMMYFUNCTION("GOOGLETRANSLATE(C3594, ""zh-CN"", ""en"")"),"Qingyang City")</f>
        <v>Qingyang City</v>
      </c>
      <c r="E3594" s="1" t="s">
        <v>3280</v>
      </c>
      <c r="F3594" s="1" t="str">
        <f>IFERROR(__xludf.DUMMYFUNCTION("GOOGLETRANSLATE(E3594, ""zh-CN"", ""en"")"),"Xifeng District")</f>
        <v>Xifeng District</v>
      </c>
      <c r="G3594" s="1">
        <v>6.21002E11</v>
      </c>
    </row>
    <row r="3595">
      <c r="A3595" s="1" t="s">
        <v>3219</v>
      </c>
      <c r="B3595" s="1" t="str">
        <f>IFERROR(__xludf.DUMMYFUNCTION("GOOGLETRANSLATE(A3521, ""zh-CN"", ""en"")"),"Liaoning Province")</f>
        <v>Liaoning Province</v>
      </c>
      <c r="C3595" s="1" t="s">
        <v>3229</v>
      </c>
      <c r="D3595" s="1" t="str">
        <f>IFERROR(__xludf.DUMMYFUNCTION("GOOGLETRANSLATE(C3595, ""zh-CN"", ""en"")"),"Qingyang City")</f>
        <v>Qingyang City</v>
      </c>
      <c r="E3595" s="1" t="s">
        <v>3281</v>
      </c>
      <c r="F3595" s="1" t="str">
        <f>IFERROR(__xludf.DUMMYFUNCTION("GOOGLETRANSLATE(E3595, ""zh-CN"", ""en"")"),"Qingcheng County")</f>
        <v>Qingcheng County</v>
      </c>
      <c r="G3595" s="1">
        <v>6.21021E11</v>
      </c>
    </row>
    <row r="3596">
      <c r="A3596" s="1" t="s">
        <v>3219</v>
      </c>
      <c r="B3596" s="1" t="str">
        <f>IFERROR(__xludf.DUMMYFUNCTION("GOOGLETRANSLATE(A3522, ""zh-CN"", ""en"")"),"Gansu province")</f>
        <v>Gansu province</v>
      </c>
      <c r="C3596" s="1" t="s">
        <v>3229</v>
      </c>
      <c r="D3596" s="1" t="str">
        <f>IFERROR(__xludf.DUMMYFUNCTION("GOOGLETRANSLATE(C3596, ""zh-CN"", ""en"")"),"Qingyang City")</f>
        <v>Qingyang City</v>
      </c>
      <c r="E3596" s="1" t="s">
        <v>3282</v>
      </c>
      <c r="F3596" s="1" t="str">
        <f>IFERROR(__xludf.DUMMYFUNCTION("GOOGLETRANSLATE(E3596, ""zh-CN"", ""en"")"),"County")</f>
        <v>County</v>
      </c>
      <c r="G3596" s="1">
        <v>6.21022E11</v>
      </c>
    </row>
    <row r="3597">
      <c r="A3597" s="1" t="s">
        <v>3219</v>
      </c>
      <c r="B3597" s="1" t="str">
        <f>IFERROR(__xludf.DUMMYFUNCTION("GOOGLETRANSLATE(A3523, ""zh-CN"", ""en"")"),"Gansu province")</f>
        <v>Gansu province</v>
      </c>
      <c r="C3597" s="1" t="s">
        <v>3229</v>
      </c>
      <c r="D3597" s="1" t="str">
        <f>IFERROR(__xludf.DUMMYFUNCTION("GOOGLETRANSLATE(C3597, ""zh-CN"", ""en"")"),"Qingyang City")</f>
        <v>Qingyang City</v>
      </c>
      <c r="E3597" s="1" t="s">
        <v>3283</v>
      </c>
      <c r="F3597" s="1" t="str">
        <f>IFERROR(__xludf.DUMMYFUNCTION("GOOGLETRANSLATE(E3597, ""zh-CN"", ""en"")"),"Huachi County")</f>
        <v>Huachi County</v>
      </c>
      <c r="G3597" s="1">
        <v>6.21023E11</v>
      </c>
    </row>
    <row r="3598">
      <c r="A3598" s="1" t="s">
        <v>3219</v>
      </c>
      <c r="B3598" s="1" t="str">
        <f>IFERROR(__xludf.DUMMYFUNCTION("GOOGLETRANSLATE(A3524, ""zh-CN"", ""en"")"),"Gansu province")</f>
        <v>Gansu province</v>
      </c>
      <c r="C3598" s="1" t="s">
        <v>3229</v>
      </c>
      <c r="D3598" s="1" t="str">
        <f>IFERROR(__xludf.DUMMYFUNCTION("GOOGLETRANSLATE(C3598, ""zh-CN"", ""en"")"),"Qingyang City")</f>
        <v>Qingyang City</v>
      </c>
      <c r="E3598" s="1" t="s">
        <v>3284</v>
      </c>
      <c r="F3598" s="1" t="str">
        <f>IFERROR(__xludf.DUMMYFUNCTION("GOOGLETRANSLATE(E3598, ""zh-CN"", ""en"")"),"Heshui County")</f>
        <v>Heshui County</v>
      </c>
      <c r="G3598" s="1">
        <v>6.21024E11</v>
      </c>
    </row>
    <row r="3599">
      <c r="A3599" s="1" t="s">
        <v>3219</v>
      </c>
      <c r="B3599" s="1" t="str">
        <f>IFERROR(__xludf.DUMMYFUNCTION("GOOGLETRANSLATE(A3525, ""zh-CN"", ""en"")"),"Gansu province")</f>
        <v>Gansu province</v>
      </c>
      <c r="C3599" s="1" t="s">
        <v>3229</v>
      </c>
      <c r="D3599" s="1" t="str">
        <f>IFERROR(__xludf.DUMMYFUNCTION("GOOGLETRANSLATE(C3599, ""zh-CN"", ""en"")"),"Qingyang City")</f>
        <v>Qingyang City</v>
      </c>
      <c r="E3599" s="1" t="s">
        <v>3285</v>
      </c>
      <c r="F3599" s="1" t="str">
        <f>IFERROR(__xludf.DUMMYFUNCTION("GOOGLETRANSLATE(E3599, ""zh-CN"", ""en"")"),"Zhengning County")</f>
        <v>Zhengning County</v>
      </c>
      <c r="G3599" s="1">
        <v>6.21025E11</v>
      </c>
    </row>
    <row r="3600">
      <c r="A3600" s="1" t="s">
        <v>3219</v>
      </c>
      <c r="B3600" s="1" t="str">
        <f>IFERROR(__xludf.DUMMYFUNCTION("GOOGLETRANSLATE(A3526, ""zh-CN"", ""en"")"),"Gansu province")</f>
        <v>Gansu province</v>
      </c>
      <c r="C3600" s="1" t="s">
        <v>3229</v>
      </c>
      <c r="D3600" s="1" t="str">
        <f>IFERROR(__xludf.DUMMYFUNCTION("GOOGLETRANSLATE(C3600, ""zh-CN"", ""en"")"),"Qingyang City")</f>
        <v>Qingyang City</v>
      </c>
      <c r="E3600" s="1" t="s">
        <v>3286</v>
      </c>
      <c r="F3600" s="1" t="str">
        <f>IFERROR(__xludf.DUMMYFUNCTION("GOOGLETRANSLATE(E3600, ""zh-CN"", ""en"")"),"Ningxian")</f>
        <v>Ningxian</v>
      </c>
      <c r="G3600" s="1">
        <v>6.21026E11</v>
      </c>
    </row>
    <row r="3601">
      <c r="A3601" s="1" t="s">
        <v>3219</v>
      </c>
      <c r="B3601" s="1" t="str">
        <f>IFERROR(__xludf.DUMMYFUNCTION("GOOGLETRANSLATE(A3527, ""zh-CN"", ""en"")"),"Gansu province")</f>
        <v>Gansu province</v>
      </c>
      <c r="C3601" s="1" t="s">
        <v>3229</v>
      </c>
      <c r="D3601" s="1" t="str">
        <f>IFERROR(__xludf.DUMMYFUNCTION("GOOGLETRANSLATE(C3601, ""zh-CN"", ""en"")"),"Qingyang City")</f>
        <v>Qingyang City</v>
      </c>
      <c r="E3601" s="1" t="s">
        <v>3287</v>
      </c>
      <c r="F3601" s="1" t="str">
        <f>IFERROR(__xludf.DUMMYFUNCTION("GOOGLETRANSLATE(E3601, ""zh-CN"", ""en"")"),"Zhenyuan County")</f>
        <v>Zhenyuan County</v>
      </c>
      <c r="G3601" s="1">
        <v>6.21027E11</v>
      </c>
    </row>
    <row r="3602">
      <c r="A3602" s="1" t="s">
        <v>3219</v>
      </c>
      <c r="B3602" s="1" t="str">
        <f>IFERROR(__xludf.DUMMYFUNCTION("GOOGLETRANSLATE(A3528, ""zh-CN"", ""en"")"),"Gansu province")</f>
        <v>Gansu province</v>
      </c>
      <c r="C3602" s="1" t="s">
        <v>3230</v>
      </c>
      <c r="D3602" s="1" t="str">
        <f>IFERROR(__xludf.DUMMYFUNCTION("GOOGLETRANSLATE(C3602, ""zh-CN"", ""en"")"),"Dingxi City")</f>
        <v>Dingxi City</v>
      </c>
      <c r="E3602" s="1" t="s">
        <v>24</v>
      </c>
      <c r="F3602" s="1" t="str">
        <f>IFERROR(__xludf.DUMMYFUNCTION("GOOGLETRANSLATE(E3602, ""zh-CN"", ""en"")"),"City area")</f>
        <v>City area</v>
      </c>
      <c r="G3602" s="1">
        <v>6.21101E11</v>
      </c>
    </row>
    <row r="3603">
      <c r="A3603" s="1" t="s">
        <v>3219</v>
      </c>
      <c r="B3603" s="1" t="str">
        <f>IFERROR(__xludf.DUMMYFUNCTION("GOOGLETRANSLATE(A3529, ""zh-CN"", ""en"")"),"Gansu province")</f>
        <v>Gansu province</v>
      </c>
      <c r="C3603" s="1" t="s">
        <v>3230</v>
      </c>
      <c r="D3603" s="1" t="str">
        <f>IFERROR(__xludf.DUMMYFUNCTION("GOOGLETRANSLATE(C3603, ""zh-CN"", ""en"")"),"Dingxi City")</f>
        <v>Dingxi City</v>
      </c>
      <c r="E3603" s="1" t="s">
        <v>3288</v>
      </c>
      <c r="F3603" s="1" t="str">
        <f>IFERROR(__xludf.DUMMYFUNCTION("GOOGLETRANSLATE(E3603, ""zh-CN"", ""en"")"),"Stable area")</f>
        <v>Stable area</v>
      </c>
      <c r="G3603" s="1">
        <v>6.21102E11</v>
      </c>
    </row>
    <row r="3604">
      <c r="A3604" s="1" t="s">
        <v>3219</v>
      </c>
      <c r="B3604" s="1" t="str">
        <f>IFERROR(__xludf.DUMMYFUNCTION("GOOGLETRANSLATE(A3530, ""zh-CN"", ""en"")"),"Gansu province")</f>
        <v>Gansu province</v>
      </c>
      <c r="C3604" s="1" t="s">
        <v>3230</v>
      </c>
      <c r="D3604" s="1" t="str">
        <f>IFERROR(__xludf.DUMMYFUNCTION("GOOGLETRANSLATE(C3604, ""zh-CN"", ""en"")"),"Dingxi City")</f>
        <v>Dingxi City</v>
      </c>
      <c r="E3604" s="1" t="s">
        <v>3289</v>
      </c>
      <c r="F3604" s="1" t="str">
        <f>IFERROR(__xludf.DUMMYFUNCTION("GOOGLETRANSLATE(E3604, ""zh-CN"", ""en"")"),"Tongwei County")</f>
        <v>Tongwei County</v>
      </c>
      <c r="G3604" s="1">
        <v>6.21121E11</v>
      </c>
    </row>
    <row r="3605">
      <c r="A3605" s="1" t="s">
        <v>3219</v>
      </c>
      <c r="B3605" s="1" t="str">
        <f>IFERROR(__xludf.DUMMYFUNCTION("GOOGLETRANSLATE(A3531, ""zh-CN"", ""en"")"),"Gansu province")</f>
        <v>Gansu province</v>
      </c>
      <c r="C3605" s="1" t="s">
        <v>3230</v>
      </c>
      <c r="D3605" s="1" t="str">
        <f>IFERROR(__xludf.DUMMYFUNCTION("GOOGLETRANSLATE(C3605, ""zh-CN"", ""en"")"),"Dingxi City")</f>
        <v>Dingxi City</v>
      </c>
      <c r="E3605" s="1" t="s">
        <v>3290</v>
      </c>
      <c r="F3605" s="1" t="str">
        <f>IFERROR(__xludf.DUMMYFUNCTION("GOOGLETRANSLATE(E3605, ""zh-CN"", ""en"")"),"Longxi County")</f>
        <v>Longxi County</v>
      </c>
      <c r="G3605" s="1">
        <v>6.21122E11</v>
      </c>
    </row>
    <row r="3606">
      <c r="A3606" s="1" t="s">
        <v>3219</v>
      </c>
      <c r="B3606" s="1" t="str">
        <f>IFERROR(__xludf.DUMMYFUNCTION("GOOGLETRANSLATE(A3532, ""zh-CN"", ""en"")"),"Gansu province")</f>
        <v>Gansu province</v>
      </c>
      <c r="C3606" s="1" t="s">
        <v>3230</v>
      </c>
      <c r="D3606" s="1" t="str">
        <f>IFERROR(__xludf.DUMMYFUNCTION("GOOGLETRANSLATE(C3606, ""zh-CN"", ""en"")"),"Dingxi City")</f>
        <v>Dingxi City</v>
      </c>
      <c r="E3606" s="1" t="s">
        <v>3291</v>
      </c>
      <c r="F3606" s="1" t="str">
        <f>IFERROR(__xludf.DUMMYFUNCTION("GOOGLETRANSLATE(E3606, ""zh-CN"", ""en"")"),"Weiyuan County")</f>
        <v>Weiyuan County</v>
      </c>
      <c r="G3606" s="1">
        <v>6.21123E11</v>
      </c>
    </row>
    <row r="3607">
      <c r="A3607" s="1" t="s">
        <v>3219</v>
      </c>
      <c r="B3607" s="1" t="str">
        <f>IFERROR(__xludf.DUMMYFUNCTION("GOOGLETRANSLATE(A3533, ""zh-CN"", ""en"")"),"Gansu province")</f>
        <v>Gansu province</v>
      </c>
      <c r="C3607" s="1" t="s">
        <v>3230</v>
      </c>
      <c r="D3607" s="1" t="str">
        <f>IFERROR(__xludf.DUMMYFUNCTION("GOOGLETRANSLATE(C3607, ""zh-CN"", ""en"")"),"Dingxi City")</f>
        <v>Dingxi City</v>
      </c>
      <c r="E3607" s="1" t="s">
        <v>3292</v>
      </c>
      <c r="F3607" s="1" t="str">
        <f>IFERROR(__xludf.DUMMYFUNCTION("GOOGLETRANSLATE(E3607, ""zh-CN"", ""en"")"),"Linyi County")</f>
        <v>Linyi County</v>
      </c>
      <c r="G3607" s="1">
        <v>6.21124E11</v>
      </c>
    </row>
    <row r="3608">
      <c r="A3608" s="1" t="s">
        <v>3219</v>
      </c>
      <c r="B3608" s="1" t="str">
        <f>IFERROR(__xludf.DUMMYFUNCTION("GOOGLETRANSLATE(A3534, ""zh-CN"", ""en"")"),"Gansu province")</f>
        <v>Gansu province</v>
      </c>
      <c r="C3608" s="1" t="s">
        <v>3230</v>
      </c>
      <c r="D3608" s="1" t="str">
        <f>IFERROR(__xludf.DUMMYFUNCTION("GOOGLETRANSLATE(C3608, ""zh-CN"", ""en"")"),"Dingxi City")</f>
        <v>Dingxi City</v>
      </c>
      <c r="E3608" s="1" t="s">
        <v>3293</v>
      </c>
      <c r="F3608" s="1" t="str">
        <f>IFERROR(__xludf.DUMMYFUNCTION("GOOGLETRANSLATE(E3608, ""zh-CN"", ""en"")"),"Zhang County")</f>
        <v>Zhang County</v>
      </c>
      <c r="G3608" s="1">
        <v>6.21125E11</v>
      </c>
    </row>
    <row r="3609">
      <c r="A3609" s="1" t="s">
        <v>3219</v>
      </c>
      <c r="B3609" s="1" t="str">
        <f>IFERROR(__xludf.DUMMYFUNCTION("GOOGLETRANSLATE(A3535, ""zh-CN"", ""en"")"),"Gansu province")</f>
        <v>Gansu province</v>
      </c>
      <c r="C3609" s="1" t="s">
        <v>3230</v>
      </c>
      <c r="D3609" s="1" t="str">
        <f>IFERROR(__xludf.DUMMYFUNCTION("GOOGLETRANSLATE(C3609, ""zh-CN"", ""en"")"),"Dingxi City")</f>
        <v>Dingxi City</v>
      </c>
      <c r="E3609" s="1" t="s">
        <v>3294</v>
      </c>
      <c r="F3609" s="1" t="str">
        <f>IFERROR(__xludf.DUMMYFUNCTION("GOOGLETRANSLATE(E3609, ""zh-CN"", ""en"")"),"Qixian County")</f>
        <v>Qixian County</v>
      </c>
      <c r="G3609" s="1">
        <v>6.21126E11</v>
      </c>
    </row>
    <row r="3610">
      <c r="A3610" s="1" t="s">
        <v>3219</v>
      </c>
      <c r="B3610" s="1" t="str">
        <f>IFERROR(__xludf.DUMMYFUNCTION("GOOGLETRANSLATE(A3536, ""zh-CN"", ""en"")"),"Gansu province")</f>
        <v>Gansu province</v>
      </c>
      <c r="C3610" s="1" t="s">
        <v>3231</v>
      </c>
      <c r="D3610" s="1" t="str">
        <f>IFERROR(__xludf.DUMMYFUNCTION("GOOGLETRANSLATE(C3610, ""zh-CN"", ""en"")"),"Longnan City")</f>
        <v>Longnan City</v>
      </c>
      <c r="E3610" s="1" t="s">
        <v>24</v>
      </c>
      <c r="F3610" s="1" t="str">
        <f>IFERROR(__xludf.DUMMYFUNCTION("GOOGLETRANSLATE(E3610, ""zh-CN"", ""en"")"),"City area")</f>
        <v>City area</v>
      </c>
      <c r="G3610" s="1">
        <v>6.21201E11</v>
      </c>
    </row>
    <row r="3611">
      <c r="A3611" s="1" t="s">
        <v>3219</v>
      </c>
      <c r="B3611" s="1" t="str">
        <f>IFERROR(__xludf.DUMMYFUNCTION("GOOGLETRANSLATE(A3537, ""zh-CN"", ""en"")"),"Gansu province")</f>
        <v>Gansu province</v>
      </c>
      <c r="C3611" s="1" t="s">
        <v>3231</v>
      </c>
      <c r="D3611" s="1" t="str">
        <f>IFERROR(__xludf.DUMMYFUNCTION("GOOGLETRANSLATE(C3611, ""zh-CN"", ""en"")"),"Longnan City")</f>
        <v>Longnan City</v>
      </c>
      <c r="E3611" s="1" t="s">
        <v>3295</v>
      </c>
      <c r="F3611" s="1" t="str">
        <f>IFERROR(__xludf.DUMMYFUNCTION("GOOGLETRANSLATE(E3611, ""zh-CN"", ""en"")"),"Wudu District")</f>
        <v>Wudu District</v>
      </c>
      <c r="G3611" s="1">
        <v>6.21202E11</v>
      </c>
    </row>
    <row r="3612">
      <c r="A3612" s="1" t="s">
        <v>3219</v>
      </c>
      <c r="B3612" s="1" t="str">
        <f>IFERROR(__xludf.DUMMYFUNCTION("GOOGLETRANSLATE(A3538, ""zh-CN"", ""en"")"),"Gansu province")</f>
        <v>Gansu province</v>
      </c>
      <c r="C3612" s="1" t="s">
        <v>3231</v>
      </c>
      <c r="D3612" s="1" t="str">
        <f>IFERROR(__xludf.DUMMYFUNCTION("GOOGLETRANSLATE(C3612, ""zh-CN"", ""en"")"),"Longnan City")</f>
        <v>Longnan City</v>
      </c>
      <c r="E3612" s="1" t="s">
        <v>3296</v>
      </c>
      <c r="F3612" s="1" t="str">
        <f>IFERROR(__xludf.DUMMYFUNCTION("GOOGLETRANSLATE(E3612, ""zh-CN"", ""en"")"),"County")</f>
        <v>County</v>
      </c>
      <c r="G3612" s="1">
        <v>6.21221E11</v>
      </c>
    </row>
    <row r="3613">
      <c r="A3613" s="1" t="s">
        <v>3219</v>
      </c>
      <c r="B3613" s="1" t="str">
        <f>IFERROR(__xludf.DUMMYFUNCTION("GOOGLETRANSLATE(A3539, ""zh-CN"", ""en"")"),"Gansu province")</f>
        <v>Gansu province</v>
      </c>
      <c r="C3613" s="1" t="s">
        <v>3231</v>
      </c>
      <c r="D3613" s="1" t="str">
        <f>IFERROR(__xludf.DUMMYFUNCTION("GOOGLETRANSLATE(C3613, ""zh-CN"", ""en"")"),"Longnan City")</f>
        <v>Longnan City</v>
      </c>
      <c r="E3613" s="1" t="s">
        <v>3297</v>
      </c>
      <c r="F3613" s="1" t="str">
        <f>IFERROR(__xludf.DUMMYFUNCTION("GOOGLETRANSLATE(E3613, ""zh-CN"", ""en"")"),"Wenxian")</f>
        <v>Wenxian</v>
      </c>
      <c r="G3613" s="1">
        <v>6.21222E11</v>
      </c>
    </row>
    <row r="3614">
      <c r="A3614" s="1" t="s">
        <v>3219</v>
      </c>
      <c r="B3614" s="1" t="str">
        <f>IFERROR(__xludf.DUMMYFUNCTION("GOOGLETRANSLATE(A3540, ""zh-CN"", ""en"")"),"Gansu province")</f>
        <v>Gansu province</v>
      </c>
      <c r="C3614" s="1" t="s">
        <v>3231</v>
      </c>
      <c r="D3614" s="1" t="str">
        <f>IFERROR(__xludf.DUMMYFUNCTION("GOOGLETRANSLATE(C3614, ""zh-CN"", ""en"")"),"Longnan City")</f>
        <v>Longnan City</v>
      </c>
      <c r="E3614" s="1" t="s">
        <v>3298</v>
      </c>
      <c r="F3614" s="1" t="str">
        <f>IFERROR(__xludf.DUMMYFUNCTION("GOOGLETRANSLATE(E3614, ""zh-CN"", ""en"")"),"Dangchang County")</f>
        <v>Dangchang County</v>
      </c>
      <c r="G3614" s="1">
        <v>6.21223E11</v>
      </c>
    </row>
    <row r="3615">
      <c r="A3615" s="1" t="s">
        <v>3219</v>
      </c>
      <c r="B3615" s="1" t="str">
        <f>IFERROR(__xludf.DUMMYFUNCTION("GOOGLETRANSLATE(A3541, ""zh-CN"", ""en"")"),"Gansu province")</f>
        <v>Gansu province</v>
      </c>
      <c r="C3615" s="1" t="s">
        <v>3231</v>
      </c>
      <c r="D3615" s="1" t="str">
        <f>IFERROR(__xludf.DUMMYFUNCTION("GOOGLETRANSLATE(C3615, ""zh-CN"", ""en"")"),"Longnan City")</f>
        <v>Longnan City</v>
      </c>
      <c r="E3615" s="1" t="s">
        <v>3299</v>
      </c>
      <c r="F3615" s="1" t="str">
        <f>IFERROR(__xludf.DUMMYFUNCTION("GOOGLETRANSLATE(E3615, ""zh-CN"", ""en"")"),"Kang County")</f>
        <v>Kang County</v>
      </c>
      <c r="G3615" s="1">
        <v>6.21224E11</v>
      </c>
    </row>
    <row r="3616">
      <c r="A3616" s="1" t="s">
        <v>3219</v>
      </c>
      <c r="B3616" s="1" t="str">
        <f>IFERROR(__xludf.DUMMYFUNCTION("GOOGLETRANSLATE(A3542, ""zh-CN"", ""en"")"),"Gansu province")</f>
        <v>Gansu province</v>
      </c>
      <c r="C3616" s="1" t="s">
        <v>3231</v>
      </c>
      <c r="D3616" s="1" t="str">
        <f>IFERROR(__xludf.DUMMYFUNCTION("GOOGLETRANSLATE(C3616, ""zh-CN"", ""en"")"),"Longnan City")</f>
        <v>Longnan City</v>
      </c>
      <c r="E3616" s="1" t="s">
        <v>3300</v>
      </c>
      <c r="F3616" s="1" t="str">
        <f>IFERROR(__xludf.DUMMYFUNCTION("GOOGLETRANSLATE(E3616, ""zh-CN"", ""en"")"),"Xihe County")</f>
        <v>Xihe County</v>
      </c>
      <c r="G3616" s="1">
        <v>6.21225E11</v>
      </c>
    </row>
    <row r="3617">
      <c r="A3617" s="1" t="s">
        <v>3219</v>
      </c>
      <c r="B3617" s="1" t="str">
        <f>IFERROR(__xludf.DUMMYFUNCTION("GOOGLETRANSLATE(A3543, ""zh-CN"", ""en"")"),"Gansu province")</f>
        <v>Gansu province</v>
      </c>
      <c r="C3617" s="1" t="s">
        <v>3231</v>
      </c>
      <c r="D3617" s="1" t="str">
        <f>IFERROR(__xludf.DUMMYFUNCTION("GOOGLETRANSLATE(C3617, ""zh-CN"", ""en"")"),"Longnan City")</f>
        <v>Longnan City</v>
      </c>
      <c r="E3617" s="1" t="s">
        <v>3301</v>
      </c>
      <c r="F3617" s="1" t="str">
        <f>IFERROR(__xludf.DUMMYFUNCTION("GOOGLETRANSLATE(E3617, ""zh-CN"", ""en"")"),"Ritual county")</f>
        <v>Ritual county</v>
      </c>
      <c r="G3617" s="1">
        <v>6.21226E11</v>
      </c>
    </row>
    <row r="3618">
      <c r="A3618" s="1" t="s">
        <v>3219</v>
      </c>
      <c r="B3618" s="1" t="str">
        <f>IFERROR(__xludf.DUMMYFUNCTION("GOOGLETRANSLATE(A3544, ""zh-CN"", ""en"")"),"Gansu province")</f>
        <v>Gansu province</v>
      </c>
      <c r="C3618" s="1" t="s">
        <v>3231</v>
      </c>
      <c r="D3618" s="1" t="str">
        <f>IFERROR(__xludf.DUMMYFUNCTION("GOOGLETRANSLATE(C3618, ""zh-CN"", ""en"")"),"Longnan City")</f>
        <v>Longnan City</v>
      </c>
      <c r="E3618" s="1" t="s">
        <v>3302</v>
      </c>
      <c r="F3618" s="1" t="str">
        <f>IFERROR(__xludf.DUMMYFUNCTION("GOOGLETRANSLATE(E3618, ""zh-CN"", ""en"")"),"Huixian")</f>
        <v>Huixian</v>
      </c>
      <c r="G3618" s="1">
        <v>6.21227E11</v>
      </c>
    </row>
    <row r="3619">
      <c r="A3619" s="1" t="s">
        <v>3219</v>
      </c>
      <c r="B3619" s="1" t="str">
        <f>IFERROR(__xludf.DUMMYFUNCTION("GOOGLETRANSLATE(A3545, ""zh-CN"", ""en"")"),"Gansu province")</f>
        <v>Gansu province</v>
      </c>
      <c r="C3619" s="1" t="s">
        <v>3231</v>
      </c>
      <c r="D3619" s="1" t="str">
        <f>IFERROR(__xludf.DUMMYFUNCTION("GOOGLETRANSLATE(C3619, ""zh-CN"", ""en"")"),"Longnan City")</f>
        <v>Longnan City</v>
      </c>
      <c r="E3619" s="1" t="s">
        <v>3303</v>
      </c>
      <c r="F3619" s="1" t="str">
        <f>IFERROR(__xludf.DUMMYFUNCTION("GOOGLETRANSLATE(E3619, ""zh-CN"", ""en"")"),"Two counties")</f>
        <v>Two counties</v>
      </c>
      <c r="G3619" s="1">
        <v>6.21228E11</v>
      </c>
    </row>
    <row r="3620">
      <c r="A3620" s="1" t="s">
        <v>3219</v>
      </c>
      <c r="B3620" s="1" t="str">
        <f>IFERROR(__xludf.DUMMYFUNCTION("GOOGLETRANSLATE(A3546, ""zh-CN"", ""en"")"),"Gansu province")</f>
        <v>Gansu province</v>
      </c>
      <c r="C3620" s="1" t="s">
        <v>3232</v>
      </c>
      <c r="D3620" s="1" t="str">
        <f>IFERROR(__xludf.DUMMYFUNCTION("GOOGLETRANSLATE(C3620, ""zh-CN"", ""en"")"),"Linxia Hui Autonomous Prefecture")</f>
        <v>Linxia Hui Autonomous Prefecture</v>
      </c>
      <c r="E3620" s="1" t="s">
        <v>3304</v>
      </c>
      <c r="F3620" s="1" t="str">
        <f>IFERROR(__xludf.DUMMYFUNCTION("GOOGLETRANSLATE(E3620, ""zh-CN"", ""en"")"),"Linxia City")</f>
        <v>Linxia City</v>
      </c>
      <c r="G3620" s="1">
        <v>6.22901E11</v>
      </c>
    </row>
    <row r="3621">
      <c r="A3621" s="1" t="s">
        <v>3219</v>
      </c>
      <c r="B3621" s="1" t="str">
        <f>IFERROR(__xludf.DUMMYFUNCTION("GOOGLETRANSLATE(A3547, ""zh-CN"", ""en"")"),"Gansu province")</f>
        <v>Gansu province</v>
      </c>
      <c r="C3621" s="1" t="s">
        <v>3232</v>
      </c>
      <c r="D3621" s="1" t="str">
        <f>IFERROR(__xludf.DUMMYFUNCTION("GOOGLETRANSLATE(C3621, ""zh-CN"", ""en"")"),"Linxia Hui Autonomous Prefecture")</f>
        <v>Linxia Hui Autonomous Prefecture</v>
      </c>
      <c r="E3621" s="1" t="s">
        <v>3305</v>
      </c>
      <c r="F3621" s="1" t="str">
        <f>IFERROR(__xludf.DUMMYFUNCTION("GOOGLETRANSLATE(E3621, ""zh-CN"", ""en"")"),"Linxia County")</f>
        <v>Linxia County</v>
      </c>
      <c r="G3621" s="1">
        <v>6.22921E11</v>
      </c>
    </row>
    <row r="3622">
      <c r="A3622" s="1" t="s">
        <v>3219</v>
      </c>
      <c r="B3622" s="1" t="str">
        <f>IFERROR(__xludf.DUMMYFUNCTION("GOOGLETRANSLATE(A3548, ""zh-CN"", ""en"")"),"Gansu province")</f>
        <v>Gansu province</v>
      </c>
      <c r="C3622" s="1" t="s">
        <v>3232</v>
      </c>
      <c r="D3622" s="1" t="str">
        <f>IFERROR(__xludf.DUMMYFUNCTION("GOOGLETRANSLATE(C3622, ""zh-CN"", ""en"")"),"Linxia Hui Autonomous Prefecture")</f>
        <v>Linxia Hui Autonomous Prefecture</v>
      </c>
      <c r="E3622" s="1" t="s">
        <v>3306</v>
      </c>
      <c r="F3622" s="1" t="str">
        <f>IFERROR(__xludf.DUMMYFUNCTION("GOOGLETRANSLATE(E3622, ""zh-CN"", ""en"")"),"Kangle County")</f>
        <v>Kangle County</v>
      </c>
      <c r="G3622" s="1">
        <v>6.22922E11</v>
      </c>
    </row>
    <row r="3623">
      <c r="A3623" s="1" t="s">
        <v>3219</v>
      </c>
      <c r="B3623" s="1" t="str">
        <f>IFERROR(__xludf.DUMMYFUNCTION("GOOGLETRANSLATE(A3549, ""zh-CN"", ""en"")"),"Gansu province")</f>
        <v>Gansu province</v>
      </c>
      <c r="C3623" s="1" t="s">
        <v>3232</v>
      </c>
      <c r="D3623" s="1" t="str">
        <f>IFERROR(__xludf.DUMMYFUNCTION("GOOGLETRANSLATE(C3623, ""zh-CN"", ""en"")"),"Linxia Hui Autonomous Prefecture")</f>
        <v>Linxia Hui Autonomous Prefecture</v>
      </c>
      <c r="E3623" s="1" t="s">
        <v>3307</v>
      </c>
      <c r="F3623" s="1" t="str">
        <f>IFERROR(__xludf.DUMMYFUNCTION("GOOGLETRANSLATE(E3623, ""zh-CN"", ""en"")"),"Yongjing County")</f>
        <v>Yongjing County</v>
      </c>
      <c r="G3623" s="1">
        <v>6.22923E11</v>
      </c>
    </row>
    <row r="3624">
      <c r="A3624" s="1" t="s">
        <v>3219</v>
      </c>
      <c r="B3624" s="1" t="str">
        <f>IFERROR(__xludf.DUMMYFUNCTION("GOOGLETRANSLATE(A3550, ""zh-CN"", ""en"")"),"Gansu province")</f>
        <v>Gansu province</v>
      </c>
      <c r="C3624" s="1" t="s">
        <v>3232</v>
      </c>
      <c r="D3624" s="1" t="str">
        <f>IFERROR(__xludf.DUMMYFUNCTION("GOOGLETRANSLATE(C3624, ""zh-CN"", ""en"")"),"Linxia Hui Autonomous Prefecture")</f>
        <v>Linxia Hui Autonomous Prefecture</v>
      </c>
      <c r="E3624" s="1" t="s">
        <v>3308</v>
      </c>
      <c r="F3624" s="1" t="str">
        <f>IFERROR(__xludf.DUMMYFUNCTION("GOOGLETRANSLATE(E3624, ""zh-CN"", ""en"")"),"Guanghe County")</f>
        <v>Guanghe County</v>
      </c>
      <c r="G3624" s="1">
        <v>6.22924E11</v>
      </c>
    </row>
    <row r="3625">
      <c r="A3625" s="1" t="s">
        <v>3219</v>
      </c>
      <c r="B3625" s="1" t="str">
        <f>IFERROR(__xludf.DUMMYFUNCTION("GOOGLETRANSLATE(A3551, ""zh-CN"", ""en"")"),"Gansu province")</f>
        <v>Gansu province</v>
      </c>
      <c r="C3625" s="1" t="s">
        <v>3232</v>
      </c>
      <c r="D3625" s="1" t="str">
        <f>IFERROR(__xludf.DUMMYFUNCTION("GOOGLETRANSLATE(C3625, ""zh-CN"", ""en"")"),"Linxia Hui Autonomous Prefecture")</f>
        <v>Linxia Hui Autonomous Prefecture</v>
      </c>
      <c r="E3625" s="1" t="s">
        <v>3309</v>
      </c>
      <c r="F3625" s="1" t="str">
        <f>IFERROR(__xludf.DUMMYFUNCTION("GOOGLETRANSLATE(E3625, ""zh-CN"", ""en"")"),"Hezheng County")</f>
        <v>Hezheng County</v>
      </c>
      <c r="G3625" s="1">
        <v>6.22925E11</v>
      </c>
    </row>
    <row r="3626">
      <c r="A3626" s="1" t="s">
        <v>3219</v>
      </c>
      <c r="B3626" s="1" t="str">
        <f>IFERROR(__xludf.DUMMYFUNCTION("GOOGLETRANSLATE(A3552, ""zh-CN"", ""en"")"),"Gansu province")</f>
        <v>Gansu province</v>
      </c>
      <c r="C3626" s="1" t="s">
        <v>3232</v>
      </c>
      <c r="D3626" s="1" t="str">
        <f>IFERROR(__xludf.DUMMYFUNCTION("GOOGLETRANSLATE(C3626, ""zh-CN"", ""en"")"),"Linxia Hui Autonomous Prefecture")</f>
        <v>Linxia Hui Autonomous Prefecture</v>
      </c>
      <c r="E3626" s="1" t="s">
        <v>3310</v>
      </c>
      <c r="F3626" s="1" t="str">
        <f>IFERROR(__xludf.DUMMYFUNCTION("GOOGLETRANSLATE(E3626, ""zh-CN"", ""en"")"),"Dongxiang Topo Autonomous County")</f>
        <v>Dongxiang Topo Autonomous County</v>
      </c>
      <c r="G3626" s="1">
        <v>6.22926E11</v>
      </c>
    </row>
    <row r="3627">
      <c r="A3627" s="1" t="s">
        <v>3219</v>
      </c>
      <c r="B3627" s="1" t="str">
        <f>IFERROR(__xludf.DUMMYFUNCTION("GOOGLETRANSLATE(A3553, ""zh-CN"", ""en"")"),"Gansu province")</f>
        <v>Gansu province</v>
      </c>
      <c r="C3627" s="1" t="s">
        <v>3232</v>
      </c>
      <c r="D3627" s="1" t="str">
        <f>IFERROR(__xludf.DUMMYFUNCTION("GOOGLETRANSLATE(C3627, ""zh-CN"", ""en"")"),"Linxia Hui Autonomous Prefecture")</f>
        <v>Linxia Hui Autonomous Prefecture</v>
      </c>
      <c r="E3627" s="1" t="s">
        <v>3311</v>
      </c>
      <c r="F3627" s="1" t="str">
        <f>IFERROR(__xludf.DUMMYFUNCTION("GOOGLETRANSLATE(E3627, ""zh-CN"", ""en"")"),"Ji Shishan Baoan Township Township Saala Autonomous County")</f>
        <v>Ji Shishan Baoan Township Township Saala Autonomous County</v>
      </c>
      <c r="G3627" s="1">
        <v>6.22927E11</v>
      </c>
    </row>
    <row r="3628">
      <c r="A3628" s="1" t="s">
        <v>3219</v>
      </c>
      <c r="B3628" s="1" t="str">
        <f>IFERROR(__xludf.DUMMYFUNCTION("GOOGLETRANSLATE(A3554, ""zh-CN"", ""en"")"),"Gansu province")</f>
        <v>Gansu province</v>
      </c>
      <c r="C3628" s="1" t="s">
        <v>3233</v>
      </c>
      <c r="D3628" s="1" t="str">
        <f>IFERROR(__xludf.DUMMYFUNCTION("GOOGLETRANSLATE(C3628, ""zh-CN"", ""en"")"),"Gannan Tibetan Autonomous Prefecture")</f>
        <v>Gannan Tibetan Autonomous Prefecture</v>
      </c>
      <c r="E3628" s="1" t="s">
        <v>3312</v>
      </c>
      <c r="F3628" s="1" t="str">
        <f>IFERROR(__xludf.DUMMYFUNCTION("GOOGLETRANSLATE(E3628, ""zh-CN"", ""en"")"),"Cooperative market")</f>
        <v>Cooperative market</v>
      </c>
      <c r="G3628" s="1">
        <v>6.23001E11</v>
      </c>
    </row>
    <row r="3629">
      <c r="A3629" s="1" t="s">
        <v>3219</v>
      </c>
      <c r="B3629" s="1" t="str">
        <f>IFERROR(__xludf.DUMMYFUNCTION("GOOGLETRANSLATE(A3555, ""zh-CN"", ""en"")"),"Gansu province")</f>
        <v>Gansu province</v>
      </c>
      <c r="C3629" s="1" t="s">
        <v>3233</v>
      </c>
      <c r="D3629" s="1" t="str">
        <f>IFERROR(__xludf.DUMMYFUNCTION("GOOGLETRANSLATE(C3629, ""zh-CN"", ""en"")"),"Gannan Tibetan Autonomous Prefecture")</f>
        <v>Gannan Tibetan Autonomous Prefecture</v>
      </c>
      <c r="E3629" s="1" t="s">
        <v>3313</v>
      </c>
      <c r="F3629" s="1" t="str">
        <f>IFERROR(__xludf.DUMMYFUNCTION("GOOGLETRANSLATE(E3629, ""zh-CN"", ""en"")"),"Lintan County")</f>
        <v>Lintan County</v>
      </c>
      <c r="G3629" s="1">
        <v>6.23021E11</v>
      </c>
    </row>
    <row r="3630">
      <c r="A3630" s="1" t="s">
        <v>3219</v>
      </c>
      <c r="B3630" s="1" t="str">
        <f>IFERROR(__xludf.DUMMYFUNCTION("GOOGLETRANSLATE(A3556, ""zh-CN"", ""en"")"),"Gansu province")</f>
        <v>Gansu province</v>
      </c>
      <c r="C3630" s="1" t="s">
        <v>3233</v>
      </c>
      <c r="D3630" s="1" t="str">
        <f>IFERROR(__xludf.DUMMYFUNCTION("GOOGLETRANSLATE(C3630, ""zh-CN"", ""en"")"),"Gannan Tibetan Autonomous Prefecture")</f>
        <v>Gannan Tibetan Autonomous Prefecture</v>
      </c>
      <c r="E3630" s="1" t="s">
        <v>3314</v>
      </c>
      <c r="F3630" s="1" t="str">
        <f>IFERROR(__xludf.DUMMYFUNCTION("GOOGLETRANSLATE(E3630, ""zh-CN"", ""en"")"),"Tonini Prefecture")</f>
        <v>Tonini Prefecture</v>
      </c>
      <c r="G3630" s="1">
        <v>6.23022E11</v>
      </c>
    </row>
    <row r="3631">
      <c r="A3631" s="1" t="s">
        <v>3219</v>
      </c>
      <c r="B3631" s="1" t="str">
        <f>IFERROR(__xludf.DUMMYFUNCTION("GOOGLETRANSLATE(A3557, ""zh-CN"", ""en"")"),"Gansu province")</f>
        <v>Gansu province</v>
      </c>
      <c r="C3631" s="1" t="s">
        <v>3233</v>
      </c>
      <c r="D3631" s="1" t="str">
        <f>IFERROR(__xludf.DUMMYFUNCTION("GOOGLETRANSLATE(C3631, ""zh-CN"", ""en"")"),"Gannan Tibetan Autonomous Prefecture")</f>
        <v>Gannan Tibetan Autonomous Prefecture</v>
      </c>
      <c r="E3631" s="1" t="s">
        <v>3315</v>
      </c>
      <c r="F3631" s="1" t="str">
        <f>IFERROR(__xludf.DUMMYFUNCTION("GOOGLETRANSLATE(E3631, ""zh-CN"", ""en"")"),"Zhouqu County")</f>
        <v>Zhouqu County</v>
      </c>
      <c r="G3631" s="1">
        <v>6.23023E11</v>
      </c>
    </row>
    <row r="3632">
      <c r="A3632" s="1" t="s">
        <v>3219</v>
      </c>
      <c r="B3632" s="1" t="str">
        <f>IFERROR(__xludf.DUMMYFUNCTION("GOOGLETRANSLATE(A3558, ""zh-CN"", ""en"")"),"Gansu province")</f>
        <v>Gansu province</v>
      </c>
      <c r="C3632" s="1" t="s">
        <v>3233</v>
      </c>
      <c r="D3632" s="1" t="str">
        <f>IFERROR(__xludf.DUMMYFUNCTION("GOOGLETRANSLATE(C3632, ""zh-CN"", ""en"")"),"Gannan Tibetan Autonomous Prefecture")</f>
        <v>Gannan Tibetan Autonomous Prefecture</v>
      </c>
      <c r="E3632" s="1" t="s">
        <v>3316</v>
      </c>
      <c r="F3632" s="1" t="str">
        <f>IFERROR(__xludf.DUMMYFUNCTION("GOOGLETRANSLATE(E3632, ""zh-CN"", ""en"")"),"Diebu County")</f>
        <v>Diebu County</v>
      </c>
      <c r="G3632" s="1">
        <v>6.23024E11</v>
      </c>
    </row>
    <row r="3633">
      <c r="A3633" s="1" t="s">
        <v>3219</v>
      </c>
      <c r="B3633" s="1" t="str">
        <f>IFERROR(__xludf.DUMMYFUNCTION("GOOGLETRANSLATE(A3559, ""zh-CN"", ""en"")"),"Gansu province")</f>
        <v>Gansu province</v>
      </c>
      <c r="C3633" s="1" t="s">
        <v>3233</v>
      </c>
      <c r="D3633" s="1" t="str">
        <f>IFERROR(__xludf.DUMMYFUNCTION("GOOGLETRANSLATE(C3633, ""zh-CN"", ""en"")"),"Gannan Tibetan Autonomous Prefecture")</f>
        <v>Gannan Tibetan Autonomous Prefecture</v>
      </c>
      <c r="E3633" s="1" t="s">
        <v>3317</v>
      </c>
      <c r="F3633" s="1" t="str">
        <f>IFERROR(__xludf.DUMMYFUNCTION("GOOGLETRANSLATE(E3633, ""zh-CN"", ""en"")"),"Maqu County")</f>
        <v>Maqu County</v>
      </c>
      <c r="G3633" s="1">
        <v>6.23025E11</v>
      </c>
    </row>
    <row r="3634">
      <c r="A3634" s="1" t="s">
        <v>3219</v>
      </c>
      <c r="B3634" s="1" t="str">
        <f>IFERROR(__xludf.DUMMYFUNCTION("GOOGLETRANSLATE(A3560, ""zh-CN"", ""en"")"),"Gansu province")</f>
        <v>Gansu province</v>
      </c>
      <c r="C3634" s="1" t="s">
        <v>3233</v>
      </c>
      <c r="D3634" s="1" t="str">
        <f>IFERROR(__xludf.DUMMYFUNCTION("GOOGLETRANSLATE(C3634, ""zh-CN"", ""en"")"),"Gannan Tibetan Autonomous Prefecture")</f>
        <v>Gannan Tibetan Autonomous Prefecture</v>
      </c>
      <c r="E3634" s="1" t="s">
        <v>3318</v>
      </c>
      <c r="F3634" s="1" t="str">
        <f>IFERROR(__xludf.DUMMYFUNCTION("GOOGLETRANSLATE(E3634, ""zh-CN"", ""en"")"),"Luqu County")</f>
        <v>Luqu County</v>
      </c>
      <c r="G3634" s="1">
        <v>6.23026E11</v>
      </c>
    </row>
    <row r="3635">
      <c r="A3635" s="1" t="s">
        <v>3219</v>
      </c>
      <c r="B3635" s="1" t="str">
        <f>IFERROR(__xludf.DUMMYFUNCTION("GOOGLETRANSLATE(A3561, ""zh-CN"", ""en"")"),"Gansu province")</f>
        <v>Gansu province</v>
      </c>
      <c r="C3635" s="1" t="s">
        <v>3233</v>
      </c>
      <c r="D3635" s="1" t="str">
        <f>IFERROR(__xludf.DUMMYFUNCTION("GOOGLETRANSLATE(C3635, ""zh-CN"", ""en"")"),"Gannan Tibetan Autonomous Prefecture")</f>
        <v>Gannan Tibetan Autonomous Prefecture</v>
      </c>
      <c r="E3635" s="1" t="s">
        <v>3319</v>
      </c>
      <c r="F3635" s="1" t="str">
        <f>IFERROR(__xludf.DUMMYFUNCTION("GOOGLETRANSLATE(E3635, ""zh-CN"", ""en"")"),"Xiahe County")</f>
        <v>Xiahe County</v>
      </c>
      <c r="G3635" s="1">
        <v>6.23027E11</v>
      </c>
    </row>
    <row r="3636">
      <c r="A3636" s="3" t="s">
        <v>3320</v>
      </c>
    </row>
  </sheetData>
  <hyperlinks>
    <hyperlink r:id="rId1" ref="A3636"/>
  </hyperlinks>
  <drawing r:id="rId2"/>
</worksheet>
</file>