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1 - UNI\"/>
    </mc:Choice>
  </mc:AlternateContent>
  <xr:revisionPtr revIDLastSave="0" documentId="13_ncr:1_{24B45BAD-D0F8-430F-AE0A-2921442D9D8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yecciones" sheetId="2" r:id="rId1"/>
    <sheet name="IS Calculations" sheetId="3" r:id="rId2"/>
    <sheet name="Estado Financier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4" l="1"/>
  <c r="L24" i="4"/>
  <c r="J24" i="4"/>
  <c r="K23" i="4"/>
  <c r="L23" i="4"/>
  <c r="J23" i="4"/>
  <c r="K22" i="4"/>
  <c r="L22" i="4"/>
  <c r="J22" i="4"/>
  <c r="E24" i="4"/>
  <c r="L13" i="4"/>
  <c r="K13" i="4"/>
  <c r="J6" i="4"/>
  <c r="F39" i="4"/>
  <c r="E39" i="4"/>
  <c r="E36" i="4"/>
  <c r="F36" i="4"/>
  <c r="D36" i="4"/>
  <c r="D35" i="4"/>
  <c r="L12" i="4"/>
  <c r="K12" i="4"/>
  <c r="E30" i="4"/>
  <c r="F30" i="4"/>
  <c r="D30" i="4"/>
  <c r="E29" i="4"/>
  <c r="F29" i="4"/>
  <c r="D29" i="4"/>
  <c r="F11" i="4"/>
  <c r="E11" i="4"/>
  <c r="D11" i="4"/>
  <c r="C19" i="3"/>
  <c r="F12" i="4"/>
  <c r="E12" i="4"/>
  <c r="D12" i="4"/>
  <c r="C17" i="3" s="1"/>
  <c r="C20" i="3" s="1"/>
  <c r="E6" i="4"/>
  <c r="Q12" i="2"/>
  <c r="R31" i="2"/>
  <c r="R29" i="2"/>
  <c r="R27" i="2"/>
  <c r="R25" i="2"/>
  <c r="R23" i="2"/>
  <c r="R21" i="2"/>
  <c r="R20" i="2"/>
  <c r="R17" i="2"/>
  <c r="R15" i="2"/>
  <c r="R13" i="2"/>
  <c r="R12" i="2"/>
  <c r="P9" i="2"/>
  <c r="P8" i="2"/>
  <c r="P7" i="2"/>
  <c r="R9" i="2"/>
  <c r="R8" i="2"/>
  <c r="R7" i="2"/>
  <c r="O32" i="2"/>
  <c r="N8" i="2"/>
  <c r="D33" i="2"/>
  <c r="N7" i="2" s="1"/>
  <c r="N9" i="2" s="1"/>
  <c r="D32" i="2"/>
  <c r="F6" i="2"/>
  <c r="G5" i="2"/>
  <c r="H5" i="2" s="1"/>
  <c r="F5" i="2"/>
  <c r="H7" i="2"/>
  <c r="H9" i="2"/>
  <c r="G9" i="2"/>
  <c r="G7" i="2"/>
  <c r="F7" i="2"/>
  <c r="F9" i="2"/>
  <c r="J7" i="2"/>
  <c r="J9" i="2"/>
  <c r="I9" i="2"/>
  <c r="I7" i="2" s="1"/>
  <c r="E9" i="2"/>
  <c r="E7" i="2" s="1"/>
  <c r="Q9" i="4"/>
  <c r="P9" i="4"/>
  <c r="O9" i="4"/>
  <c r="Q12" i="4"/>
  <c r="P12" i="4"/>
  <c r="Q11" i="4"/>
  <c r="P11" i="4"/>
  <c r="O11" i="4"/>
  <c r="D34" i="4" s="1"/>
  <c r="O12" i="4"/>
  <c r="J11" i="4"/>
  <c r="K11" i="4" s="1"/>
  <c r="L11" i="4" s="1"/>
  <c r="C4" i="3"/>
  <c r="F4" i="3" s="1"/>
  <c r="F6" i="3"/>
  <c r="E6" i="3"/>
  <c r="D6" i="3"/>
  <c r="F29" i="3"/>
  <c r="G29" i="3" s="1"/>
  <c r="H29" i="3" s="1"/>
  <c r="F26" i="3"/>
  <c r="G26" i="3" s="1"/>
  <c r="H26" i="3" s="1"/>
  <c r="I26" i="3" s="1"/>
  <c r="F27" i="3"/>
  <c r="G27" i="3" s="1"/>
  <c r="H27" i="3" s="1"/>
  <c r="I27" i="3" s="1"/>
  <c r="F28" i="3"/>
  <c r="G28" i="3" s="1"/>
  <c r="Q32" i="2"/>
  <c r="S32" i="2"/>
  <c r="I6" i="3"/>
  <c r="F16" i="4" s="1"/>
  <c r="H28" i="3" l="1"/>
  <c r="I28" i="3" s="1"/>
  <c r="G30" i="3"/>
  <c r="D10" i="4" s="1"/>
  <c r="K10" i="4"/>
  <c r="N13" i="2"/>
  <c r="N15" i="2" s="1"/>
  <c r="N17" i="2" s="1"/>
  <c r="N20" i="2" s="1"/>
  <c r="N21" i="2" s="1"/>
  <c r="N23" i="2" s="1"/>
  <c r="N25" i="2" s="1"/>
  <c r="N27" i="2" s="1"/>
  <c r="N29" i="2" s="1"/>
  <c r="N31" i="2" s="1"/>
  <c r="N12" i="2"/>
  <c r="E32" i="2"/>
  <c r="E33" i="2"/>
  <c r="I5" i="2"/>
  <c r="H6" i="2"/>
  <c r="H11" i="2" s="1"/>
  <c r="E5" i="4" s="1"/>
  <c r="F11" i="2"/>
  <c r="D5" i="4" s="1"/>
  <c r="C15" i="3"/>
  <c r="C13" i="3"/>
  <c r="E4" i="3"/>
  <c r="D16" i="4"/>
  <c r="E16" i="4"/>
  <c r="D33" i="4"/>
  <c r="L10" i="4" l="1"/>
  <c r="E38" i="4"/>
  <c r="H30" i="3"/>
  <c r="E10" i="4" s="1"/>
  <c r="E9" i="4" s="1"/>
  <c r="F33" i="2"/>
  <c r="F32" i="2"/>
  <c r="G33" i="2"/>
  <c r="G32" i="2"/>
  <c r="H33" i="2"/>
  <c r="H32" i="2"/>
  <c r="H34" i="2" s="1"/>
  <c r="J6" i="2"/>
  <c r="J5" i="2"/>
  <c r="D9" i="4"/>
  <c r="C5" i="3"/>
  <c r="E5" i="3" s="1"/>
  <c r="G34" i="2" l="1"/>
  <c r="D6" i="4" s="1"/>
  <c r="E8" i="4"/>
  <c r="D8" i="4"/>
  <c r="D13" i="4" s="1"/>
  <c r="J11" i="2"/>
  <c r="F5" i="4" s="1"/>
  <c r="F5" i="3"/>
  <c r="F7" i="3" s="1"/>
  <c r="D5" i="3"/>
  <c r="D7" i="3" s="1"/>
  <c r="D14" i="4" s="1"/>
  <c r="D28" i="4" s="1"/>
  <c r="I29" i="3"/>
  <c r="I30" i="3" s="1"/>
  <c r="F10" i="4" s="1"/>
  <c r="F9" i="4" s="1"/>
  <c r="E7" i="3"/>
  <c r="C7" i="3"/>
  <c r="J12" i="4"/>
  <c r="D38" i="4" s="1"/>
  <c r="D39" i="4" s="1"/>
  <c r="F14" i="4" l="1"/>
  <c r="F28" i="4" s="1"/>
  <c r="P13" i="2"/>
  <c r="P15" i="2" s="1"/>
  <c r="P17" i="2" s="1"/>
  <c r="P20" i="2" s="1"/>
  <c r="P21" i="2" s="1"/>
  <c r="P23" i="2" s="1"/>
  <c r="P25" i="2" s="1"/>
  <c r="P27" i="2" s="1"/>
  <c r="P29" i="2" s="1"/>
  <c r="P31" i="2" s="1"/>
  <c r="P12" i="2"/>
  <c r="I33" i="2"/>
  <c r="I32" i="2"/>
  <c r="E14" i="4"/>
  <c r="E28" i="4" s="1"/>
  <c r="J13" i="4"/>
  <c r="D15" i="4"/>
  <c r="E13" i="4"/>
  <c r="I34" i="2" l="1"/>
  <c r="F6" i="4" s="1"/>
  <c r="F8" i="4" s="1"/>
  <c r="F13" i="4" s="1"/>
  <c r="D17" i="4"/>
  <c r="E15" i="4"/>
  <c r="D18" i="4" l="1"/>
  <c r="F15" i="4"/>
  <c r="E17" i="4"/>
  <c r="E18" i="4" s="1"/>
  <c r="P7" i="4" s="1"/>
  <c r="D27" i="4" l="1"/>
  <c r="O7" i="4"/>
  <c r="D19" i="4"/>
  <c r="F17" i="4"/>
  <c r="F18" i="4" s="1"/>
  <c r="Q7" i="4" s="1"/>
  <c r="E19" i="4"/>
  <c r="O14" i="4" l="1"/>
  <c r="O13" i="4"/>
  <c r="P13" i="4" s="1"/>
  <c r="D26" i="4"/>
  <c r="D31" i="4" s="1"/>
  <c r="D40" i="4" s="1"/>
  <c r="E26" i="4"/>
  <c r="F19" i="4"/>
  <c r="E27" i="4"/>
  <c r="Q13" i="4" l="1"/>
  <c r="Q14" i="4" s="1"/>
  <c r="P14" i="4"/>
  <c r="F26" i="4"/>
  <c r="F27" i="4"/>
  <c r="E31" i="4"/>
  <c r="E40" i="4" s="1"/>
  <c r="K6" i="4" l="1"/>
  <c r="K14" i="4" s="1"/>
  <c r="F24" i="4"/>
  <c r="F31" i="4"/>
  <c r="F40" i="4" l="1"/>
  <c r="L6" i="4" s="1"/>
  <c r="L14" i="4" s="1"/>
  <c r="J14" i="4" l="1"/>
</calcChain>
</file>

<file path=xl/sharedStrings.xml><?xml version="1.0" encoding="utf-8"?>
<sst xmlns="http://schemas.openxmlformats.org/spreadsheetml/2006/main" count="192" uniqueCount="152">
  <si>
    <t>Total</t>
  </si>
  <si>
    <t>CAPEX</t>
  </si>
  <si>
    <t>TOTAL</t>
  </si>
  <si>
    <t>Bank Loan</t>
  </si>
  <si>
    <t>Forecast</t>
  </si>
  <si>
    <t>EBITDA</t>
  </si>
  <si>
    <t>EBIT</t>
  </si>
  <si>
    <t>EBT</t>
  </si>
  <si>
    <t>Cash Flows</t>
  </si>
  <si>
    <t>Final Cash</t>
  </si>
  <si>
    <t>Caja</t>
  </si>
  <si>
    <t>Depreciación</t>
  </si>
  <si>
    <t>Año</t>
  </si>
  <si>
    <t>Activos No Corriente</t>
  </si>
  <si>
    <t>Activos Corriente</t>
  </si>
  <si>
    <t>Activos</t>
  </si>
  <si>
    <t>Balance De Situación</t>
  </si>
  <si>
    <t>Pasivos</t>
  </si>
  <si>
    <t>Pasivos Corriente</t>
  </si>
  <si>
    <t>Impuestos a Pagar</t>
  </si>
  <si>
    <t>Cuentas por pagar</t>
  </si>
  <si>
    <t>Deuda a Largo Plazo</t>
  </si>
  <si>
    <t>ACTIVO TOTAL</t>
  </si>
  <si>
    <t>TOTAL PASIVO Y P.N.</t>
  </si>
  <si>
    <t>Patrimonio Neto</t>
  </si>
  <si>
    <t>Ganancias Retenidas</t>
  </si>
  <si>
    <t>Pasivos No Corriente</t>
  </si>
  <si>
    <t>Impuestos</t>
  </si>
  <si>
    <t>Ingresos Netos</t>
  </si>
  <si>
    <t>Intereses</t>
  </si>
  <si>
    <t>Ingresos</t>
  </si>
  <si>
    <t>Margen Bruto</t>
  </si>
  <si>
    <t>Capital Social</t>
  </si>
  <si>
    <t>OPEX (Gastos Operativos)</t>
  </si>
  <si>
    <t>Marketing y Publicidad</t>
  </si>
  <si>
    <t xml:space="preserve">Infrastuctura del TI </t>
  </si>
  <si>
    <t>Patente</t>
  </si>
  <si>
    <t>Costo de Servicios Prestados (CSP)</t>
  </si>
  <si>
    <t>Cuentas por Cobrar (Subvenciones)</t>
  </si>
  <si>
    <t>Equipos Informáticos</t>
  </si>
  <si>
    <t>Flujo de Caja Inicial</t>
  </si>
  <si>
    <t>Δ Impuestos a Pagar</t>
  </si>
  <si>
    <t>Δ + Cuentas por pagar</t>
  </si>
  <si>
    <t>Cuentas por cobrar</t>
  </si>
  <si>
    <t>Préstamo</t>
  </si>
  <si>
    <t>Proyecciones de Ventas</t>
  </si>
  <si>
    <t>Precio de Venta</t>
  </si>
  <si>
    <t>Conceptos</t>
  </si>
  <si>
    <t>Proyecciones de Costes de Servicios Prestados (API)</t>
  </si>
  <si>
    <t>Maps</t>
  </si>
  <si>
    <t>Dynamic Maps+</t>
  </si>
  <si>
    <t>SDK de Maps para Android</t>
  </si>
  <si>
    <t>SDK de Maps para iOS</t>
  </si>
  <si>
    <t>API Java Script de Maps</t>
  </si>
  <si>
    <t>Routes</t>
  </si>
  <si>
    <t>Roads</t>
  </si>
  <si>
    <t>Snap to Roads</t>
  </si>
  <si>
    <t>Nearest Roads</t>
  </si>
  <si>
    <t>Routes: Compute Routes</t>
  </si>
  <si>
    <t>Preferred</t>
  </si>
  <si>
    <t>Routes: Compute Routes Matrix</t>
  </si>
  <si>
    <t>Places</t>
  </si>
  <si>
    <t>Autocomplete</t>
  </si>
  <si>
    <t>Autocomplete by request</t>
  </si>
  <si>
    <t>Autocomplete and Place Details</t>
  </si>
  <si>
    <t>Geocoding</t>
  </si>
  <si>
    <t>API Geocoding</t>
  </si>
  <si>
    <t>Nearby Search</t>
  </si>
  <si>
    <t>Place Details</t>
  </si>
  <si>
    <t>Place Photos</t>
  </si>
  <si>
    <t>API Place Photos</t>
  </si>
  <si>
    <t>Text Search</t>
  </si>
  <si>
    <t>Productos</t>
  </si>
  <si>
    <t>Costes Primer Año</t>
  </si>
  <si>
    <t>Coste Segundo Año</t>
  </si>
  <si>
    <t>Coste Tercer Año</t>
  </si>
  <si>
    <t>Comisiones</t>
  </si>
  <si>
    <t>Cuenta De Resultados</t>
  </si>
  <si>
    <t>Predicciones de Ventas/ Año</t>
  </si>
  <si>
    <t>Premium (Establecimiento)</t>
  </si>
  <si>
    <t>Google Ads</t>
  </si>
  <si>
    <t>Propiedades y Equipo</t>
  </si>
  <si>
    <t>Cantidad</t>
  </si>
  <si>
    <t>Ratio de Interés</t>
  </si>
  <si>
    <t>Pago de Intereses</t>
  </si>
  <si>
    <t>Años</t>
  </si>
  <si>
    <t>Crowfunding</t>
  </si>
  <si>
    <t>Cantidad Total</t>
  </si>
  <si>
    <t>Flujo de efectivo Financiero</t>
  </si>
  <si>
    <t>Flujo de efectivo Operativo (método indirecto)</t>
  </si>
  <si>
    <t>Flujo de efectivo Inversiones</t>
  </si>
  <si>
    <t>Aplicación iOS</t>
  </si>
  <si>
    <t>Aplicación Android</t>
  </si>
  <si>
    <t>Costes Segundo Año</t>
  </si>
  <si>
    <t>Tarifa Fija/ Año</t>
  </si>
  <si>
    <t>Proyecciones de Costes de Servicios Prestados (Aplicaciones Móviles)</t>
  </si>
  <si>
    <t>Tarifa Única</t>
  </si>
  <si>
    <t>Comisión Primer Año</t>
  </si>
  <si>
    <t>Comisión Segundo Año y Sucesivo</t>
  </si>
  <si>
    <t>Inversión Inicial</t>
  </si>
  <si>
    <t>Creación de Pagina Web</t>
  </si>
  <si>
    <t>Creación Aplicaciones Móviles</t>
  </si>
  <si>
    <t>Salarios</t>
  </si>
  <si>
    <t>Salario Total</t>
  </si>
  <si>
    <t>Contables</t>
  </si>
  <si>
    <t>Turismóloga</t>
  </si>
  <si>
    <t>Diseñadora de Página Webs</t>
  </si>
  <si>
    <t>Rango de Salarios</t>
  </si>
  <si>
    <t>Mínimo</t>
  </si>
  <si>
    <t>Máximo</t>
  </si>
  <si>
    <t>Posición Laboral</t>
  </si>
  <si>
    <t>Contable</t>
  </si>
  <si>
    <t xml:space="preserve">Diseñadora </t>
  </si>
  <si>
    <t>Sitio Web</t>
  </si>
  <si>
    <t>Desarrollador</t>
  </si>
  <si>
    <t>Desarrollador de Creacion de Paginas Web y Aplicaciones Moviles</t>
  </si>
  <si>
    <t>€/Mes</t>
  </si>
  <si>
    <t>Sitos Web</t>
  </si>
  <si>
    <t xml:space="preserve">De los 116 pueblos "más bonitos" se han detectado 467 potenciales clientes. </t>
  </si>
  <si>
    <t>Cuota anual por uso</t>
  </si>
  <si>
    <t>Usuario</t>
  </si>
  <si>
    <t>Establecimiento</t>
  </si>
  <si>
    <t>Ingresos Anuales Año 1</t>
  </si>
  <si>
    <t>Ingresos Anuales Año 2</t>
  </si>
  <si>
    <t>Ingresos Anuales Año 3</t>
  </si>
  <si>
    <t>Predicciones de Ventas/ Año 3</t>
  </si>
  <si>
    <t>Predicciones de Ventas/ Año 2</t>
  </si>
  <si>
    <t>Costes Tercer Año</t>
  </si>
  <si>
    <t>Previsiones Descargas Año 1</t>
  </si>
  <si>
    <t>Previsiones Descargas Año 2</t>
  </si>
  <si>
    <t>Previsiones Descargas Año 3</t>
  </si>
  <si>
    <t>Se estima un promedio de visualización de anucios de 0,7 por cada usuario.</t>
  </si>
  <si>
    <t>Se estima un gasto promedio de 25€.</t>
  </si>
  <si>
    <t>-</t>
  </si>
  <si>
    <t>Consumidor</t>
  </si>
  <si>
    <t xml:space="preserve">Este 90% se divide de forma equitativa entre ambos sistemas operativos (45%/ 45%). </t>
  </si>
  <si>
    <t xml:space="preserve">Se estima que del 100% de nuestros usuarios (Establecimientos/ Consumidores), un 90% haga uso simultaneo en página Web y Aplicación iOS o Android. </t>
  </si>
  <si>
    <t>De los 467 se estima una colaboración incial del 20%. Este crecerá un 30% el segundo año y alcanzará el 80% el tercer año.</t>
  </si>
  <si>
    <t>De estos, se estima el uso del servicio "Premium" por un 20% el primer año, un 35% el segundo año y un 50% el tercer.</t>
  </si>
  <si>
    <t>Uso Año 2</t>
  </si>
  <si>
    <t>Uso Año 1</t>
  </si>
  <si>
    <t>Uso Año 3</t>
  </si>
  <si>
    <t>Salarios (4 trabajadores):</t>
  </si>
  <si>
    <t>La empresa recibirá un préstamo de 11,000€ del banco, 6,000€ de Crowfunding y 12000€  de C.S. (2,000€ por socio).</t>
  </si>
  <si>
    <t>CSP 4Q 2024</t>
  </si>
  <si>
    <t>El servicio será lanzado en el 4Q de 2024, se hará un descuento en las cuotas anuales de uso.</t>
  </si>
  <si>
    <t>Porpiedades</t>
  </si>
  <si>
    <t>Margen Neto:</t>
  </si>
  <si>
    <t>ROE:</t>
  </si>
  <si>
    <t>ROA:</t>
  </si>
  <si>
    <t>Ratios</t>
  </si>
  <si>
    <t>Beneficios Netos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</si>
</sst>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#,##0.00[$€]"/>
    <numFmt numFmtId="165" formatCode="[$€]#,##0.00"/>
    <numFmt numFmtId="166" formatCode="#,##0.00\ [$€-803]"/>
    <numFmt numFmtId="167" formatCode="#,##0[$€]"/>
    <numFmt numFmtId="168" formatCode="[$$-409]#,##0.00"/>
  </numFmts>
  <fonts count="33">
    <font>
      <sz val="10"/>
      <color rgb="FF000000"/>
      <name val="Arial"/>
      <scheme val="minor"/>
    </font>
    <font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</font>
    <font>
      <sz val="10"/>
      <name val="Arial"/>
    </font>
    <font>
      <sz val="10"/>
      <color theme="1"/>
      <name val="Century Gothic"/>
    </font>
    <font>
      <sz val="11"/>
      <color theme="1"/>
      <name val="Century Gothic"/>
    </font>
    <font>
      <b/>
      <sz val="11"/>
      <color rgb="FF000000"/>
      <name val="Century Gothic"/>
    </font>
    <font>
      <sz val="11"/>
      <color rgb="FF000000"/>
      <name val="Century Gothic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rgb="FF000000"/>
      <name val="Arial"/>
    </font>
    <font>
      <b/>
      <sz val="11"/>
      <color theme="1"/>
      <name val="Arial"/>
      <scheme val="minor"/>
    </font>
    <font>
      <b/>
      <i/>
      <sz val="11"/>
      <color theme="1"/>
      <name val="&quot;Times New Roman&quot;"/>
    </font>
    <font>
      <sz val="11"/>
      <color theme="1"/>
      <name val="&quot;Times New Roman&quot;"/>
    </font>
    <font>
      <i/>
      <sz val="11"/>
      <color theme="1"/>
      <name val="&quot;Times New Roman&quot;"/>
    </font>
    <font>
      <sz val="10"/>
      <color rgb="FF000000"/>
      <name val="Arial"/>
      <scheme val="minor"/>
    </font>
    <font>
      <b/>
      <sz val="11"/>
      <color theme="1"/>
      <name val="Century Gothic"/>
      <family val="2"/>
    </font>
    <font>
      <sz val="10"/>
      <color rgb="FF000000"/>
      <name val="Arial"/>
      <family val="2"/>
      <scheme val="minor"/>
    </font>
    <font>
      <sz val="11"/>
      <name val="Arial"/>
      <family val="2"/>
    </font>
    <font>
      <sz val="10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name val="Century Gothic"/>
      <family val="2"/>
    </font>
    <font>
      <b/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Century Gothic"/>
      <family val="2"/>
    </font>
    <font>
      <sz val="11"/>
      <name val="Century Gothic"/>
      <family val="2"/>
    </font>
    <font>
      <sz val="11"/>
      <color rgb="FF000000"/>
      <name val="Arial"/>
      <family val="2"/>
      <scheme val="minor"/>
    </font>
    <font>
      <sz val="10"/>
      <color theme="1"/>
      <name val="Century Gothic"/>
      <family val="2"/>
    </font>
    <font>
      <sz val="11"/>
      <color theme="5" tint="-0.249977111117893"/>
      <name val="Century Gothic"/>
      <family val="2"/>
    </font>
    <font>
      <sz val="9"/>
      <color rgb="FF000000"/>
      <name val="Century Gothic"/>
      <family val="2"/>
    </font>
    <font>
      <b/>
      <i/>
      <sz val="14"/>
      <color rgb="FF00000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rgb="FF00000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rgb="FF00000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rgb="FF000000"/>
      </right>
      <top style="thin">
        <color indexed="64"/>
      </top>
      <bottom style="thin">
        <color theme="1" tint="0.499984740745262"/>
      </bottom>
      <diagonal/>
    </border>
    <border>
      <left style="thin">
        <color rgb="FF000000"/>
      </left>
      <right style="thin">
        <color theme="1" tint="0.499984740745262"/>
      </right>
      <top style="thin">
        <color rgb="FF00000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rgb="FF000000"/>
      </right>
      <top style="thin">
        <color rgb="FF000000"/>
      </top>
      <bottom style="thin">
        <color theme="1" tint="0.499984740745262"/>
      </bottom>
      <diagonal/>
    </border>
    <border>
      <left style="thin">
        <color rgb="FF000000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rgb="FF000000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000000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rgb="FF000000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rgb="FF000000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rgb="FF000000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424">
    <xf numFmtId="0" fontId="0" fillId="0" borderId="0" xfId="0"/>
    <xf numFmtId="0" fontId="5" fillId="0" borderId="0" xfId="0" applyFont="1"/>
    <xf numFmtId="0" fontId="9" fillId="0" borderId="0" xfId="0" applyFont="1"/>
    <xf numFmtId="0" fontId="6" fillId="0" borderId="0" xfId="0" applyFont="1"/>
    <xf numFmtId="0" fontId="6" fillId="0" borderId="6" xfId="0" applyFont="1" applyBorder="1"/>
    <xf numFmtId="164" fontId="6" fillId="0" borderId="0" xfId="0" applyNumberFormat="1" applyFont="1"/>
    <xf numFmtId="0" fontId="6" fillId="0" borderId="3" xfId="0" applyFont="1" applyBorder="1"/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8" xfId="0" applyFont="1" applyBorder="1"/>
    <xf numFmtId="0" fontId="10" fillId="0" borderId="0" xfId="0" applyFont="1"/>
    <xf numFmtId="164" fontId="7" fillId="2" borderId="3" xfId="0" applyNumberFormat="1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6" fillId="0" borderId="0" xfId="0" applyFont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164" fontId="6" fillId="0" borderId="8" xfId="0" applyNumberFormat="1" applyFont="1" applyBorder="1"/>
    <xf numFmtId="164" fontId="9" fillId="0" borderId="0" xfId="0" applyNumberFormat="1" applyFont="1"/>
    <xf numFmtId="164" fontId="3" fillId="5" borderId="3" xfId="0" applyNumberFormat="1" applyFont="1" applyFill="1" applyBorder="1"/>
    <xf numFmtId="0" fontId="6" fillId="0" borderId="14" xfId="0" applyFont="1" applyBorder="1"/>
    <xf numFmtId="0" fontId="6" fillId="0" borderId="5" xfId="0" applyFont="1" applyBorder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4" fontId="6" fillId="0" borderId="2" xfId="0" applyNumberFormat="1" applyFont="1" applyBorder="1"/>
    <xf numFmtId="164" fontId="6" fillId="0" borderId="3" xfId="0" applyNumberFormat="1" applyFont="1" applyBorder="1"/>
    <xf numFmtId="164" fontId="3" fillId="5" borderId="2" xfId="0" applyNumberFormat="1" applyFont="1" applyFill="1" applyBorder="1"/>
    <xf numFmtId="0" fontId="15" fillId="0" borderId="0" xfId="0" applyFont="1"/>
    <xf numFmtId="165" fontId="9" fillId="0" borderId="0" xfId="0" applyNumberFormat="1" applyFont="1"/>
    <xf numFmtId="0" fontId="19" fillId="0" borderId="0" xfId="0" applyFont="1"/>
    <xf numFmtId="0" fontId="21" fillId="0" borderId="0" xfId="0" applyFont="1"/>
    <xf numFmtId="0" fontId="18" fillId="5" borderId="6" xfId="0" applyFont="1" applyFill="1" applyBorder="1"/>
    <xf numFmtId="164" fontId="6" fillId="0" borderId="10" xfId="0" applyNumberFormat="1" applyFont="1" applyBorder="1" applyAlignment="1">
      <alignment horizontal="right" vertical="center"/>
    </xf>
    <xf numFmtId="164" fontId="3" fillId="5" borderId="6" xfId="0" applyNumberFormat="1" applyFont="1" applyFill="1" applyBorder="1" applyAlignment="1">
      <alignment horizontal="right" vertical="center"/>
    </xf>
    <xf numFmtId="9" fontId="6" fillId="0" borderId="10" xfId="2" applyFont="1" applyBorder="1" applyAlignment="1">
      <alignment horizontal="right" vertical="center"/>
    </xf>
    <xf numFmtId="0" fontId="2" fillId="0" borderId="18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7" xfId="0" applyFont="1" applyBorder="1"/>
    <xf numFmtId="0" fontId="22" fillId="0" borderId="10" xfId="0" applyFont="1" applyBorder="1"/>
    <xf numFmtId="0" fontId="26" fillId="2" borderId="1" xfId="0" applyFont="1" applyFill="1" applyBorder="1" applyAlignment="1">
      <alignment horizontal="center"/>
    </xf>
    <xf numFmtId="44" fontId="8" fillId="0" borderId="8" xfId="1" applyFont="1" applyBorder="1"/>
    <xf numFmtId="44" fontId="3" fillId="5" borderId="6" xfId="1" applyFont="1" applyFill="1" applyBorder="1"/>
    <xf numFmtId="0" fontId="22" fillId="0" borderId="33" xfId="0" applyFont="1" applyBorder="1" applyAlignment="1">
      <alignment horizontal="right" vertical="center"/>
    </xf>
    <xf numFmtId="0" fontId="22" fillId="0" borderId="0" xfId="0" applyFont="1"/>
    <xf numFmtId="0" fontId="22" fillId="0" borderId="32" xfId="0" applyFont="1" applyBorder="1" applyAlignment="1">
      <alignment horizontal="right" vertical="center"/>
    </xf>
    <xf numFmtId="0" fontId="22" fillId="0" borderId="38" xfId="0" applyFont="1" applyBorder="1"/>
    <xf numFmtId="44" fontId="22" fillId="0" borderId="32" xfId="1" applyFont="1" applyBorder="1" applyAlignment="1">
      <alignment horizontal="right" vertical="center"/>
    </xf>
    <xf numFmtId="44" fontId="1" fillId="0" borderId="32" xfId="1" applyFont="1" applyBorder="1" applyAlignment="1">
      <alignment horizontal="right" vertical="center"/>
    </xf>
    <xf numFmtId="44" fontId="22" fillId="0" borderId="25" xfId="1" applyFont="1" applyBorder="1"/>
    <xf numFmtId="0" fontId="29" fillId="0" borderId="9" xfId="0" applyFont="1" applyBorder="1"/>
    <xf numFmtId="0" fontId="3" fillId="5" borderId="38" xfId="0" applyFont="1" applyFill="1" applyBorder="1"/>
    <xf numFmtId="44" fontId="1" fillId="0" borderId="9" xfId="1" applyFont="1" applyBorder="1"/>
    <xf numFmtId="44" fontId="1" fillId="0" borderId="10" xfId="1" applyFont="1" applyBorder="1"/>
    <xf numFmtId="0" fontId="1" fillId="0" borderId="23" xfId="0" applyFont="1" applyBorder="1"/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44" fontId="1" fillId="0" borderId="36" xfId="1" applyFont="1" applyBorder="1"/>
    <xf numFmtId="44" fontId="1" fillId="0" borderId="35" xfId="1" applyFont="1" applyBorder="1"/>
    <xf numFmtId="0" fontId="22" fillId="0" borderId="23" xfId="0" applyFont="1" applyBorder="1"/>
    <xf numFmtId="0" fontId="1" fillId="0" borderId="10" xfId="0" applyFont="1" applyBorder="1"/>
    <xf numFmtId="0" fontId="3" fillId="5" borderId="45" xfId="0" applyFont="1" applyFill="1" applyBorder="1"/>
    <xf numFmtId="164" fontId="3" fillId="5" borderId="45" xfId="0" applyNumberFormat="1" applyFont="1" applyFill="1" applyBorder="1"/>
    <xf numFmtId="44" fontId="0" fillId="0" borderId="0" xfId="0" applyNumberFormat="1"/>
    <xf numFmtId="164" fontId="1" fillId="0" borderId="10" xfId="0" applyNumberFormat="1" applyFont="1" applyBorder="1" applyAlignment="1">
      <alignment horizontal="right" vertical="center"/>
    </xf>
    <xf numFmtId="164" fontId="3" fillId="5" borderId="3" xfId="0" applyNumberFormat="1" applyFont="1" applyFill="1" applyBorder="1" applyAlignment="1">
      <alignment horizontal="right"/>
    </xf>
    <xf numFmtId="0" fontId="1" fillId="0" borderId="0" xfId="0" applyFont="1"/>
    <xf numFmtId="44" fontId="19" fillId="0" borderId="0" xfId="0" applyNumberFormat="1" applyFont="1"/>
    <xf numFmtId="10" fontId="22" fillId="0" borderId="8" xfId="0" applyNumberFormat="1" applyFont="1" applyBorder="1"/>
    <xf numFmtId="44" fontId="22" fillId="0" borderId="0" xfId="0" applyNumberFormat="1" applyFont="1"/>
    <xf numFmtId="164" fontId="3" fillId="3" borderId="6" xfId="0" applyNumberFormat="1" applyFont="1" applyFill="1" applyBorder="1" applyAlignment="1">
      <alignment horizontal="right" vertical="center"/>
    </xf>
    <xf numFmtId="164" fontId="3" fillId="3" borderId="3" xfId="0" applyNumberFormat="1" applyFont="1" applyFill="1" applyBorder="1" applyAlignment="1">
      <alignment horizontal="right" vertical="center"/>
    </xf>
    <xf numFmtId="164" fontId="3" fillId="4" borderId="11" xfId="0" applyNumberFormat="1" applyFont="1" applyFill="1" applyBorder="1" applyAlignment="1">
      <alignment horizontal="right" vertical="center"/>
    </xf>
    <xf numFmtId="164" fontId="3" fillId="4" borderId="13" xfId="0" applyNumberFormat="1" applyFont="1" applyFill="1" applyBorder="1" applyAlignment="1">
      <alignment horizontal="right" vertical="center"/>
    </xf>
    <xf numFmtId="164" fontId="6" fillId="0" borderId="8" xfId="0" applyNumberFormat="1" applyFont="1" applyBorder="1" applyAlignment="1">
      <alignment horizontal="right" vertical="center"/>
    </xf>
    <xf numFmtId="164" fontId="6" fillId="6" borderId="10" xfId="0" applyNumberFormat="1" applyFont="1" applyFill="1" applyBorder="1" applyAlignment="1">
      <alignment horizontal="right" vertical="center"/>
    </xf>
    <xf numFmtId="164" fontId="3" fillId="5" borderId="3" xfId="0" applyNumberFormat="1" applyFont="1" applyFill="1" applyBorder="1" applyAlignment="1">
      <alignment horizontal="right" vertical="center"/>
    </xf>
    <xf numFmtId="164" fontId="6" fillId="0" borderId="34" xfId="0" applyNumberFormat="1" applyFont="1" applyBorder="1"/>
    <xf numFmtId="164" fontId="6" fillId="0" borderId="42" xfId="0" applyNumberFormat="1" applyFont="1" applyBorder="1"/>
    <xf numFmtId="44" fontId="27" fillId="0" borderId="0" xfId="1" applyFont="1" applyAlignment="1">
      <alignment horizontal="left"/>
    </xf>
    <xf numFmtId="44" fontId="27" fillId="0" borderId="17" xfId="1" applyFont="1" applyBorder="1" applyAlignment="1">
      <alignment horizontal="left"/>
    </xf>
    <xf numFmtId="44" fontId="27" fillId="0" borderId="18" xfId="1" applyFont="1" applyBorder="1" applyAlignment="1">
      <alignment horizontal="left"/>
    </xf>
    <xf numFmtId="44" fontId="30" fillId="0" borderId="0" xfId="1" applyFont="1"/>
    <xf numFmtId="0" fontId="22" fillId="6" borderId="2" xfId="0" applyFont="1" applyFill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0" fontId="22" fillId="6" borderId="9" xfId="0" applyFont="1" applyFill="1" applyBorder="1"/>
    <xf numFmtId="0" fontId="27" fillId="0" borderId="8" xfId="0" applyFont="1" applyBorder="1"/>
    <xf numFmtId="44" fontId="27" fillId="0" borderId="0" xfId="0" applyNumberFormat="1" applyFont="1"/>
    <xf numFmtId="44" fontId="27" fillId="0" borderId="8" xfId="0" applyNumberFormat="1" applyFont="1" applyBorder="1"/>
    <xf numFmtId="44" fontId="22" fillId="0" borderId="18" xfId="0" applyNumberFormat="1" applyFont="1" applyBorder="1"/>
    <xf numFmtId="0" fontId="22" fillId="0" borderId="0" xfId="0" applyFont="1" applyAlignment="1">
      <alignment vertical="center"/>
    </xf>
    <xf numFmtId="0" fontId="3" fillId="5" borderId="47" xfId="0" applyFont="1" applyFill="1" applyBorder="1" applyAlignment="1">
      <alignment horizontal="left" vertical="center"/>
    </xf>
    <xf numFmtId="44" fontId="3" fillId="5" borderId="11" xfId="1" applyFont="1" applyFill="1" applyBorder="1" applyAlignment="1">
      <alignment horizontal="right" vertical="center"/>
    </xf>
    <xf numFmtId="0" fontId="3" fillId="5" borderId="11" xfId="1" applyNumberFormat="1" applyFont="1" applyFill="1" applyBorder="1" applyAlignment="1">
      <alignment horizontal="right" vertical="center"/>
    </xf>
    <xf numFmtId="0" fontId="2" fillId="0" borderId="48" xfId="0" applyFont="1" applyBorder="1" applyAlignment="1">
      <alignment horizontal="left" vertical="center"/>
    </xf>
    <xf numFmtId="44" fontId="26" fillId="0" borderId="0" xfId="1" applyFont="1" applyBorder="1"/>
    <xf numFmtId="0" fontId="0" fillId="0" borderId="0" xfId="0" applyAlignment="1">
      <alignment horizontal="left"/>
    </xf>
    <xf numFmtId="44" fontId="6" fillId="0" borderId="0" xfId="0" applyNumberFormat="1" applyFont="1"/>
    <xf numFmtId="0" fontId="0" fillId="0" borderId="0" xfId="0" applyAlignment="1">
      <alignment horizontal="left" vertical="center"/>
    </xf>
    <xf numFmtId="0" fontId="22" fillId="0" borderId="0" xfId="0" applyFont="1" applyAlignment="1">
      <alignment horizontal="center"/>
    </xf>
    <xf numFmtId="0" fontId="22" fillId="0" borderId="46" xfId="0" applyFont="1" applyBorder="1" applyAlignment="1">
      <alignment horizontal="right"/>
    </xf>
    <xf numFmtId="44" fontId="1" fillId="0" borderId="10" xfId="1" applyFont="1" applyBorder="1" applyAlignment="1">
      <alignment horizontal="right" vertical="center"/>
    </xf>
    <xf numFmtId="44" fontId="1" fillId="0" borderId="0" xfId="0" applyNumberFormat="1" applyFont="1"/>
    <xf numFmtId="2" fontId="22" fillId="0" borderId="0" xfId="0" applyNumberFormat="1" applyFont="1"/>
    <xf numFmtId="44" fontId="1" fillId="0" borderId="33" xfId="1" applyFont="1" applyBorder="1" applyAlignment="1">
      <alignment horizontal="right" vertical="center"/>
    </xf>
    <xf numFmtId="44" fontId="18" fillId="0" borderId="33" xfId="1" applyFont="1" applyBorder="1" applyAlignment="1">
      <alignment horizontal="right" vertical="center"/>
    </xf>
    <xf numFmtId="44" fontId="28" fillId="0" borderId="33" xfId="1" applyFont="1" applyBorder="1" applyAlignment="1">
      <alignment horizontal="right" vertical="center"/>
    </xf>
    <xf numFmtId="168" fontId="0" fillId="0" borderId="0" xfId="1" applyNumberFormat="1" applyFont="1"/>
    <xf numFmtId="168" fontId="21" fillId="0" borderId="0" xfId="1" applyNumberFormat="1" applyFont="1"/>
    <xf numFmtId="0" fontId="28" fillId="0" borderId="0" xfId="0" applyFont="1" applyAlignment="1">
      <alignment vertical="center"/>
    </xf>
    <xf numFmtId="0" fontId="18" fillId="5" borderId="11" xfId="0" applyFont="1" applyFill="1" applyBorder="1" applyAlignment="1">
      <alignment horizontal="left" vertical="center"/>
    </xf>
    <xf numFmtId="168" fontId="18" fillId="5" borderId="6" xfId="1" applyNumberFormat="1" applyFont="1" applyFill="1" applyBorder="1" applyAlignment="1">
      <alignment horizontal="right" vertical="center"/>
    </xf>
    <xf numFmtId="2" fontId="18" fillId="0" borderId="33" xfId="1" applyNumberFormat="1" applyFont="1" applyBorder="1" applyAlignment="1">
      <alignment horizontal="right" vertical="center"/>
    </xf>
    <xf numFmtId="2" fontId="18" fillId="5" borderId="6" xfId="1" applyNumberFormat="1" applyFont="1" applyFill="1" applyBorder="1" applyAlignment="1">
      <alignment horizontal="right" vertical="center"/>
    </xf>
    <xf numFmtId="1" fontId="22" fillId="0" borderId="32" xfId="0" applyNumberFormat="1" applyFont="1" applyBorder="1" applyAlignment="1">
      <alignment horizontal="right" vertical="center"/>
    </xf>
    <xf numFmtId="1" fontId="1" fillId="0" borderId="32" xfId="1" applyNumberFormat="1" applyFont="1" applyBorder="1" applyAlignment="1">
      <alignment horizontal="right" vertical="center"/>
    </xf>
    <xf numFmtId="1" fontId="22" fillId="0" borderId="32" xfId="1" applyNumberFormat="1" applyFont="1" applyBorder="1" applyAlignment="1">
      <alignment horizontal="right" vertical="center"/>
    </xf>
    <xf numFmtId="44" fontId="18" fillId="5" borderId="24" xfId="0" applyNumberFormat="1" applyFont="1" applyFill="1" applyBorder="1"/>
    <xf numFmtId="44" fontId="18" fillId="5" borderId="38" xfId="0" applyNumberFormat="1" applyFont="1" applyFill="1" applyBorder="1"/>
    <xf numFmtId="164" fontId="27" fillId="0" borderId="0" xfId="0" applyNumberFormat="1" applyFont="1"/>
    <xf numFmtId="164" fontId="27" fillId="0" borderId="16" xfId="0" applyNumberFormat="1" applyFont="1" applyBorder="1"/>
    <xf numFmtId="44" fontId="18" fillId="5" borderId="6" xfId="1" applyFont="1" applyFill="1" applyBorder="1" applyAlignment="1">
      <alignment horizontal="right" vertical="center"/>
    </xf>
    <xf numFmtId="44" fontId="28" fillId="0" borderId="32" xfId="1" applyFont="1" applyBorder="1" applyAlignment="1">
      <alignment horizontal="right" vertical="center"/>
    </xf>
    <xf numFmtId="44" fontId="27" fillId="0" borderId="0" xfId="1" applyFont="1"/>
    <xf numFmtId="44" fontId="27" fillId="0" borderId="8" xfId="1" applyFont="1" applyBorder="1"/>
    <xf numFmtId="44" fontId="6" fillId="0" borderId="18" xfId="0" applyNumberFormat="1" applyFont="1" applyBorder="1"/>
    <xf numFmtId="0" fontId="1" fillId="0" borderId="6" xfId="0" applyFont="1" applyBorder="1"/>
    <xf numFmtId="166" fontId="27" fillId="0" borderId="0" xfId="0" applyNumberFormat="1" applyFont="1"/>
    <xf numFmtId="166" fontId="27" fillId="0" borderId="8" xfId="0" applyNumberFormat="1" applyFont="1" applyBorder="1"/>
    <xf numFmtId="164" fontId="6" fillId="0" borderId="44" xfId="0" applyNumberFormat="1" applyFont="1" applyBorder="1"/>
    <xf numFmtId="164" fontId="6" fillId="0" borderId="16" xfId="0" applyNumberFormat="1" applyFont="1" applyBorder="1"/>
    <xf numFmtId="164" fontId="6" fillId="0" borderId="41" xfId="0" applyNumberFormat="1" applyFont="1" applyBorder="1"/>
    <xf numFmtId="164" fontId="6" fillId="0" borderId="49" xfId="0" applyNumberFormat="1" applyFont="1" applyBorder="1"/>
    <xf numFmtId="164" fontId="27" fillId="0" borderId="0" xfId="1" applyNumberFormat="1" applyFont="1" applyAlignment="1">
      <alignment horizontal="left"/>
    </xf>
    <xf numFmtId="44" fontId="6" fillId="0" borderId="0" xfId="1" applyFont="1"/>
    <xf numFmtId="44" fontId="6" fillId="0" borderId="8" xfId="1" applyFont="1" applyBorder="1"/>
    <xf numFmtId="44" fontId="22" fillId="0" borderId="53" xfId="1" applyFont="1" applyBorder="1" applyAlignment="1">
      <alignment horizontal="right" vertical="center"/>
    </xf>
    <xf numFmtId="9" fontId="1" fillId="0" borderId="53" xfId="1" applyNumberFormat="1" applyFont="1" applyBorder="1" applyAlignment="1">
      <alignment horizontal="right" vertical="center"/>
    </xf>
    <xf numFmtId="44" fontId="22" fillId="0" borderId="56" xfId="1" applyFont="1" applyBorder="1"/>
    <xf numFmtId="9" fontId="22" fillId="0" borderId="56" xfId="1" applyNumberFormat="1" applyFont="1" applyBorder="1"/>
    <xf numFmtId="2" fontId="22" fillId="0" borderId="53" xfId="0" applyNumberFormat="1" applyFont="1" applyBorder="1"/>
    <xf numFmtId="0" fontId="22" fillId="0" borderId="53" xfId="0" applyFont="1" applyBorder="1"/>
    <xf numFmtId="44" fontId="18" fillId="0" borderId="53" xfId="1" applyFont="1" applyBorder="1" applyAlignment="1">
      <alignment horizontal="right" vertical="center"/>
    </xf>
    <xf numFmtId="44" fontId="26" fillId="0" borderId="53" xfId="1" applyFont="1" applyBorder="1"/>
    <xf numFmtId="2" fontId="22" fillId="0" borderId="56" xfId="0" applyNumberFormat="1" applyFont="1" applyBorder="1"/>
    <xf numFmtId="0" fontId="22" fillId="0" borderId="56" xfId="0" applyFont="1" applyBorder="1"/>
    <xf numFmtId="44" fontId="26" fillId="0" borderId="56" xfId="1" applyFont="1" applyBorder="1"/>
    <xf numFmtId="0" fontId="22" fillId="0" borderId="60" xfId="0" applyFont="1" applyBorder="1" applyAlignment="1">
      <alignment horizontal="right" vertical="center"/>
    </xf>
    <xf numFmtId="44" fontId="1" fillId="0" borderId="60" xfId="1" applyFont="1" applyBorder="1" applyAlignment="1">
      <alignment horizontal="right" vertical="center"/>
    </xf>
    <xf numFmtId="2" fontId="1" fillId="0" borderId="60" xfId="1" applyNumberFormat="1" applyFont="1" applyBorder="1" applyAlignment="1">
      <alignment horizontal="right" vertical="center"/>
    </xf>
    <xf numFmtId="44" fontId="28" fillId="0" borderId="61" xfId="1" applyFont="1" applyBorder="1" applyAlignment="1">
      <alignment horizontal="right" vertical="center"/>
    </xf>
    <xf numFmtId="1" fontId="22" fillId="0" borderId="63" xfId="0" applyNumberFormat="1" applyFont="1" applyBorder="1" applyAlignment="1">
      <alignment horizontal="right" vertical="center"/>
    </xf>
    <xf numFmtId="44" fontId="1" fillId="0" borderId="63" xfId="1" applyFont="1" applyBorder="1" applyAlignment="1">
      <alignment horizontal="right" vertical="center"/>
    </xf>
    <xf numFmtId="1" fontId="1" fillId="0" borderId="63" xfId="1" applyNumberFormat="1" applyFont="1" applyBorder="1" applyAlignment="1">
      <alignment horizontal="right" vertical="center"/>
    </xf>
    <xf numFmtId="44" fontId="28" fillId="0" borderId="64" xfId="1" applyFont="1" applyBorder="1" applyAlignment="1">
      <alignment horizontal="right" vertical="center"/>
    </xf>
    <xf numFmtId="0" fontId="22" fillId="0" borderId="66" xfId="0" applyFont="1" applyBorder="1" applyAlignment="1">
      <alignment horizontal="right" vertical="center"/>
    </xf>
    <xf numFmtId="44" fontId="1" fillId="0" borderId="66" xfId="1" applyFont="1" applyBorder="1" applyAlignment="1">
      <alignment horizontal="right" vertical="center"/>
    </xf>
    <xf numFmtId="1" fontId="22" fillId="0" borderId="66" xfId="0" applyNumberFormat="1" applyFont="1" applyBorder="1" applyAlignment="1">
      <alignment horizontal="right" vertical="center"/>
    </xf>
    <xf numFmtId="1" fontId="1" fillId="0" borderId="66" xfId="1" applyNumberFormat="1" applyFont="1" applyBorder="1" applyAlignment="1">
      <alignment horizontal="right" vertical="center"/>
    </xf>
    <xf numFmtId="44" fontId="28" fillId="0" borderId="67" xfId="1" applyFont="1" applyBorder="1" applyAlignment="1">
      <alignment horizontal="right" vertical="center"/>
    </xf>
    <xf numFmtId="1" fontId="22" fillId="0" borderId="60" xfId="0" applyNumberFormat="1" applyFont="1" applyBorder="1" applyAlignment="1">
      <alignment horizontal="right" vertical="center"/>
    </xf>
    <xf numFmtId="1" fontId="1" fillId="0" borderId="60" xfId="1" applyNumberFormat="1" applyFont="1" applyBorder="1" applyAlignment="1">
      <alignment horizontal="right" vertical="center"/>
    </xf>
    <xf numFmtId="0" fontId="22" fillId="0" borderId="63" xfId="0" applyFont="1" applyBorder="1" applyAlignment="1">
      <alignment horizontal="right" vertical="center"/>
    </xf>
    <xf numFmtId="44" fontId="22" fillId="0" borderId="63" xfId="1" applyFont="1" applyBorder="1" applyAlignment="1">
      <alignment horizontal="right" vertical="center"/>
    </xf>
    <xf numFmtId="1" fontId="22" fillId="0" borderId="63" xfId="1" applyNumberFormat="1" applyFont="1" applyBorder="1" applyAlignment="1">
      <alignment horizontal="right" vertical="center"/>
    </xf>
    <xf numFmtId="44" fontId="22" fillId="0" borderId="64" xfId="1" applyFont="1" applyBorder="1" applyAlignment="1">
      <alignment horizontal="right" vertical="center"/>
    </xf>
    <xf numFmtId="44" fontId="22" fillId="0" borderId="66" xfId="1" applyFont="1" applyBorder="1" applyAlignment="1">
      <alignment horizontal="right" vertical="center"/>
    </xf>
    <xf numFmtId="1" fontId="22" fillId="0" borderId="66" xfId="1" applyNumberFormat="1" applyFont="1" applyBorder="1" applyAlignment="1">
      <alignment horizontal="right" vertical="center"/>
    </xf>
    <xf numFmtId="44" fontId="22" fillId="0" borderId="67" xfId="1" applyFont="1" applyBorder="1" applyAlignment="1">
      <alignment horizontal="right" vertical="center"/>
    </xf>
    <xf numFmtId="44" fontId="22" fillId="0" borderId="60" xfId="1" applyFont="1" applyBorder="1" applyAlignment="1">
      <alignment horizontal="right" vertical="center"/>
    </xf>
    <xf numFmtId="1" fontId="22" fillId="0" borderId="60" xfId="1" applyNumberFormat="1" applyFont="1" applyBorder="1" applyAlignment="1">
      <alignment horizontal="right" vertical="center"/>
    </xf>
    <xf numFmtId="44" fontId="22" fillId="0" borderId="61" xfId="1" applyFont="1" applyBorder="1" applyAlignment="1">
      <alignment horizontal="right" vertical="center"/>
    </xf>
    <xf numFmtId="0" fontId="28" fillId="0" borderId="66" xfId="0" applyFont="1" applyBorder="1" applyAlignment="1">
      <alignment horizontal="right" vertical="center"/>
    </xf>
    <xf numFmtId="44" fontId="28" fillId="0" borderId="66" xfId="1" applyFont="1" applyBorder="1" applyAlignment="1">
      <alignment horizontal="right" vertical="center"/>
    </xf>
    <xf numFmtId="1" fontId="28" fillId="0" borderId="66" xfId="0" applyNumberFormat="1" applyFont="1" applyBorder="1" applyAlignment="1">
      <alignment horizontal="right" vertical="center"/>
    </xf>
    <xf numFmtId="1" fontId="28" fillId="0" borderId="66" xfId="1" applyNumberFormat="1" applyFont="1" applyBorder="1" applyAlignment="1">
      <alignment horizontal="right" vertical="center"/>
    </xf>
    <xf numFmtId="0" fontId="1" fillId="0" borderId="68" xfId="0" applyFont="1" applyBorder="1"/>
    <xf numFmtId="44" fontId="22" fillId="0" borderId="60" xfId="0" applyNumberFormat="1" applyFont="1" applyBorder="1"/>
    <xf numFmtId="44" fontId="1" fillId="0" borderId="69" xfId="1" applyFont="1" applyBorder="1"/>
    <xf numFmtId="44" fontId="1" fillId="0" borderId="70" xfId="1" applyFont="1" applyBorder="1"/>
    <xf numFmtId="0" fontId="1" fillId="0" borderId="62" xfId="0" applyFont="1" applyBorder="1"/>
    <xf numFmtId="44" fontId="22" fillId="0" borderId="63" xfId="0" applyNumberFormat="1" applyFont="1" applyBorder="1"/>
    <xf numFmtId="44" fontId="1" fillId="0" borderId="63" xfId="1" applyFont="1" applyBorder="1"/>
    <xf numFmtId="44" fontId="1" fillId="0" borderId="64" xfId="1" applyFont="1" applyBorder="1"/>
    <xf numFmtId="0" fontId="1" fillId="0" borderId="65" xfId="0" applyFont="1" applyBorder="1"/>
    <xf numFmtId="44" fontId="22" fillId="0" borderId="66" xfId="0" applyNumberFormat="1" applyFont="1" applyBorder="1"/>
    <xf numFmtId="44" fontId="1" fillId="0" borderId="66" xfId="1" applyFont="1" applyBorder="1"/>
    <xf numFmtId="44" fontId="1" fillId="0" borderId="67" xfId="1" applyFont="1" applyBorder="1"/>
    <xf numFmtId="0" fontId="22" fillId="11" borderId="28" xfId="0" applyFont="1" applyFill="1" applyBorder="1" applyAlignment="1">
      <alignment horizontal="center" vertical="center"/>
    </xf>
    <xf numFmtId="0" fontId="22" fillId="11" borderId="29" xfId="0" applyFont="1" applyFill="1" applyBorder="1" applyAlignment="1">
      <alignment horizontal="center" vertical="center"/>
    </xf>
    <xf numFmtId="0" fontId="22" fillId="11" borderId="21" xfId="0" applyFont="1" applyFill="1" applyBorder="1" applyAlignment="1">
      <alignment horizontal="center" vertical="center"/>
    </xf>
    <xf numFmtId="0" fontId="22" fillId="11" borderId="22" xfId="0" applyFont="1" applyFill="1" applyBorder="1" applyAlignment="1">
      <alignment horizontal="center" vertical="center"/>
    </xf>
    <xf numFmtId="0" fontId="22" fillId="0" borderId="20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28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wrapText="1"/>
    </xf>
    <xf numFmtId="0" fontId="22" fillId="0" borderId="25" xfId="0" applyFont="1" applyBorder="1" applyAlignment="1">
      <alignment horizont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44" fontId="22" fillId="0" borderId="51" xfId="1" applyFont="1" applyBorder="1" applyAlignment="1">
      <alignment horizontal="center" vertical="center"/>
    </xf>
    <xf numFmtId="44" fontId="22" fillId="0" borderId="52" xfId="1" applyFont="1" applyBorder="1" applyAlignment="1">
      <alignment horizontal="center" vertical="center"/>
    </xf>
    <xf numFmtId="0" fontId="22" fillId="0" borderId="54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9" borderId="32" xfId="0" applyFont="1" applyFill="1" applyBorder="1" applyAlignment="1">
      <alignment horizontal="center" vertical="center"/>
    </xf>
    <xf numFmtId="0" fontId="21" fillId="9" borderId="25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22" fillId="0" borderId="3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31" fillId="10" borderId="32" xfId="0" applyFont="1" applyFill="1" applyBorder="1" applyAlignment="1">
      <alignment horizontal="center" textRotation="45"/>
    </xf>
    <xf numFmtId="0" fontId="31" fillId="10" borderId="33" xfId="0" applyFont="1" applyFill="1" applyBorder="1" applyAlignment="1">
      <alignment horizontal="center" textRotation="45"/>
    </xf>
    <xf numFmtId="0" fontId="31" fillId="10" borderId="25" xfId="0" applyFont="1" applyFill="1" applyBorder="1" applyAlignment="1">
      <alignment horizontal="center" textRotation="45"/>
    </xf>
    <xf numFmtId="2" fontId="6" fillId="0" borderId="40" xfId="1" applyNumberFormat="1" applyFont="1" applyBorder="1" applyAlignment="1">
      <alignment horizontal="center" vertical="center"/>
    </xf>
    <xf numFmtId="2" fontId="6" fillId="0" borderId="57" xfId="1" applyNumberFormat="1" applyFont="1" applyBorder="1" applyAlignment="1">
      <alignment horizontal="center" vertical="center"/>
    </xf>
    <xf numFmtId="2" fontId="1" fillId="0" borderId="33" xfId="1" applyNumberFormat="1" applyFont="1" applyBorder="1" applyAlignment="1">
      <alignment horizontal="center" vertical="center"/>
    </xf>
    <xf numFmtId="2" fontId="6" fillId="0" borderId="25" xfId="1" applyNumberFormat="1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44" fontId="6" fillId="0" borderId="33" xfId="1" applyFont="1" applyBorder="1" applyAlignment="1">
      <alignment horizontal="center" vertical="center"/>
    </xf>
    <xf numFmtId="44" fontId="6" fillId="0" borderId="25" xfId="1" applyFont="1" applyBorder="1" applyAlignment="1">
      <alignment horizontal="center" vertical="center"/>
    </xf>
    <xf numFmtId="44" fontId="6" fillId="0" borderId="40" xfId="1" applyFont="1" applyBorder="1" applyAlignment="1">
      <alignment horizontal="center" vertical="center"/>
    </xf>
    <xf numFmtId="44" fontId="6" fillId="0" borderId="57" xfId="1" applyFont="1" applyBorder="1" applyAlignment="1">
      <alignment horizontal="center" vertical="center"/>
    </xf>
    <xf numFmtId="2" fontId="1" fillId="0" borderId="31" xfId="1" applyNumberFormat="1" applyFont="1" applyBorder="1" applyAlignment="1">
      <alignment horizontal="center" vertical="center"/>
    </xf>
    <xf numFmtId="2" fontId="1" fillId="0" borderId="30" xfId="1" applyNumberFormat="1" applyFont="1" applyBorder="1" applyAlignment="1">
      <alignment horizontal="center" vertical="center"/>
    </xf>
    <xf numFmtId="0" fontId="21" fillId="9" borderId="33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44" fontId="2" fillId="0" borderId="18" xfId="1" applyFont="1" applyBorder="1" applyAlignment="1">
      <alignment horizontal="center" vertical="center"/>
    </xf>
    <xf numFmtId="44" fontId="2" fillId="0" borderId="22" xfId="1" applyFont="1" applyBorder="1" applyAlignment="1">
      <alignment horizontal="center" vertical="center"/>
    </xf>
    <xf numFmtId="2" fontId="1" fillId="0" borderId="25" xfId="1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left" vertical="center"/>
    </xf>
    <xf numFmtId="0" fontId="1" fillId="0" borderId="63" xfId="0" applyFont="1" applyBorder="1" applyAlignment="1">
      <alignment horizontal="left" vertical="center"/>
    </xf>
    <xf numFmtId="0" fontId="1" fillId="0" borderId="65" xfId="0" applyFont="1" applyBorder="1" applyAlignment="1">
      <alignment horizontal="left" vertical="center"/>
    </xf>
    <xf numFmtId="0" fontId="1" fillId="0" borderId="66" xfId="0" applyFont="1" applyBorder="1" applyAlignment="1">
      <alignment horizontal="left" vertical="center"/>
    </xf>
    <xf numFmtId="0" fontId="18" fillId="0" borderId="68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0" fontId="1" fillId="9" borderId="26" xfId="0" applyFont="1" applyFill="1" applyBorder="1" applyAlignment="1">
      <alignment vertical="center"/>
    </xf>
    <xf numFmtId="0" fontId="27" fillId="9" borderId="16" xfId="0" applyFont="1" applyFill="1" applyBorder="1" applyAlignment="1">
      <alignment vertical="center"/>
    </xf>
    <xf numFmtId="0" fontId="18" fillId="0" borderId="58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22" fillId="0" borderId="65" xfId="0" applyFont="1" applyBorder="1" applyAlignment="1">
      <alignment horizontal="left" vertical="center"/>
    </xf>
    <xf numFmtId="0" fontId="22" fillId="0" borderId="66" xfId="0" applyFont="1" applyBorder="1" applyAlignment="1">
      <alignment horizontal="left" vertical="center"/>
    </xf>
    <xf numFmtId="0" fontId="26" fillId="0" borderId="68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2" fillId="10" borderId="23" xfId="0" applyFont="1" applyFill="1" applyBorder="1" applyAlignment="1">
      <alignment horizontal="left" vertical="center"/>
    </xf>
    <xf numFmtId="0" fontId="22" fillId="10" borderId="24" xfId="0" applyFont="1" applyFill="1" applyBorder="1" applyAlignment="1">
      <alignment horizontal="left" vertical="center"/>
    </xf>
    <xf numFmtId="0" fontId="26" fillId="0" borderId="62" xfId="0" applyFont="1" applyBorder="1" applyAlignment="1">
      <alignment horizontal="center" vertical="center"/>
    </xf>
    <xf numFmtId="0" fontId="26" fillId="0" borderId="63" xfId="0" applyFont="1" applyBorder="1" applyAlignment="1">
      <alignment horizontal="center" vertical="center"/>
    </xf>
    <xf numFmtId="0" fontId="22" fillId="0" borderId="62" xfId="0" applyFont="1" applyBorder="1" applyAlignment="1">
      <alignment horizontal="left" vertical="center"/>
    </xf>
    <xf numFmtId="0" fontId="22" fillId="0" borderId="63" xfId="0" applyFont="1" applyBorder="1" applyAlignment="1">
      <alignment horizontal="left" vertical="center"/>
    </xf>
    <xf numFmtId="0" fontId="1" fillId="8" borderId="23" xfId="0" applyFont="1" applyFill="1" applyBorder="1" applyAlignment="1">
      <alignment horizontal="left" vertical="center"/>
    </xf>
    <xf numFmtId="0" fontId="1" fillId="8" borderId="24" xfId="0" applyFont="1" applyFill="1" applyBorder="1" applyAlignment="1">
      <alignment horizontal="left" vertical="center"/>
    </xf>
    <xf numFmtId="0" fontId="18" fillId="0" borderId="62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26" fillId="0" borderId="62" xfId="0" applyFont="1" applyBorder="1" applyAlignment="1">
      <alignment horizontal="left" vertical="center"/>
    </xf>
    <xf numFmtId="0" fontId="26" fillId="0" borderId="63" xfId="0" applyFont="1" applyBorder="1" applyAlignment="1">
      <alignment horizontal="left" vertical="center"/>
    </xf>
    <xf numFmtId="0" fontId="24" fillId="0" borderId="3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2" fontId="6" fillId="0" borderId="31" xfId="1" applyNumberFormat="1" applyFont="1" applyBorder="1" applyAlignment="1">
      <alignment horizontal="center" vertical="center"/>
    </xf>
    <xf numFmtId="2" fontId="6" fillId="0" borderId="30" xfId="1" applyNumberFormat="1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6" fillId="2" borderId="1" xfId="0" applyFont="1" applyFill="1" applyBorder="1" applyAlignment="1">
      <alignment horizontal="center"/>
    </xf>
    <xf numFmtId="0" fontId="4" fillId="0" borderId="3" xfId="0" applyFont="1" applyBorder="1"/>
    <xf numFmtId="0" fontId="26" fillId="2" borderId="23" xfId="0" applyFont="1" applyFill="1" applyBorder="1" applyAlignment="1">
      <alignment horizontal="center"/>
    </xf>
    <xf numFmtId="0" fontId="26" fillId="2" borderId="27" xfId="0" applyFont="1" applyFill="1" applyBorder="1" applyAlignment="1">
      <alignment horizontal="center"/>
    </xf>
    <xf numFmtId="0" fontId="26" fillId="2" borderId="24" xfId="0" applyFont="1" applyFill="1" applyBorder="1" applyAlignment="1">
      <alignment horizontal="center"/>
    </xf>
    <xf numFmtId="0" fontId="18" fillId="5" borderId="27" xfId="0" applyFont="1" applyFill="1" applyBorder="1" applyAlignment="1">
      <alignment horizontal="center"/>
    </xf>
    <xf numFmtId="0" fontId="18" fillId="5" borderId="24" xfId="0" applyFont="1" applyFill="1" applyBorder="1" applyAlignment="1">
      <alignment horizontal="center"/>
    </xf>
    <xf numFmtId="44" fontId="18" fillId="0" borderId="1" xfId="1" applyFont="1" applyBorder="1"/>
    <xf numFmtId="44" fontId="20" fillId="0" borderId="3" xfId="1" applyFont="1" applyBorder="1"/>
    <xf numFmtId="0" fontId="18" fillId="0" borderId="4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20" fillId="0" borderId="3" xfId="0" applyFont="1" applyBorder="1"/>
    <xf numFmtId="0" fontId="18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wrapText="1"/>
    </xf>
    <xf numFmtId="0" fontId="3" fillId="0" borderId="7" xfId="0" applyFont="1" applyBorder="1" applyAlignment="1">
      <alignment horizontal="center" vertical="center"/>
    </xf>
    <xf numFmtId="0" fontId="4" fillId="0" borderId="11" xfId="0" applyFont="1" applyBorder="1"/>
    <xf numFmtId="0" fontId="18" fillId="2" borderId="4" xfId="0" applyFont="1" applyFill="1" applyBorder="1" applyAlignment="1">
      <alignment horizontal="center"/>
    </xf>
    <xf numFmtId="0" fontId="4" fillId="0" borderId="14" xfId="0" applyFont="1" applyBorder="1"/>
    <xf numFmtId="0" fontId="4" fillId="0" borderId="5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wrapText="1"/>
    </xf>
    <xf numFmtId="0" fontId="6" fillId="0" borderId="9" xfId="0" applyFont="1" applyBorder="1"/>
    <xf numFmtId="0" fontId="4" fillId="0" borderId="8" xfId="0" applyFont="1" applyBorder="1"/>
    <xf numFmtId="0" fontId="3" fillId="3" borderId="1" xfId="0" applyFont="1" applyFill="1" applyBorder="1"/>
    <xf numFmtId="0" fontId="3" fillId="5" borderId="1" xfId="0" applyFont="1" applyFill="1" applyBorder="1"/>
    <xf numFmtId="0" fontId="3" fillId="2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9" xfId="0" applyFont="1" applyBorder="1"/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0" borderId="2" xfId="0" applyFont="1" applyBorder="1"/>
    <xf numFmtId="0" fontId="6" fillId="0" borderId="1" xfId="0" applyFont="1" applyBorder="1"/>
    <xf numFmtId="0" fontId="1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3" borderId="23" xfId="0" applyFont="1" applyFill="1" applyBorder="1" applyAlignment="1">
      <alignment horizontal="center"/>
    </xf>
    <xf numFmtId="0" fontId="0" fillId="0" borderId="27" xfId="0" applyBorder="1"/>
    <xf numFmtId="0" fontId="4" fillId="0" borderId="24" xfId="0" applyFont="1" applyBorder="1"/>
    <xf numFmtId="0" fontId="1" fillId="0" borderId="9" xfId="0" applyFont="1" applyBorder="1"/>
    <xf numFmtId="0" fontId="25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27" fillId="0" borderId="2" xfId="0" applyFont="1" applyBorder="1"/>
    <xf numFmtId="0" fontId="27" fillId="0" borderId="3" xfId="0" applyFont="1" applyBorder="1"/>
    <xf numFmtId="0" fontId="26" fillId="7" borderId="1" xfId="0" applyFont="1" applyFill="1" applyBorder="1" applyAlignment="1">
      <alignment horizontal="center"/>
    </xf>
    <xf numFmtId="0" fontId="26" fillId="7" borderId="2" xfId="0" applyFont="1" applyFill="1" applyBorder="1" applyAlignment="1">
      <alignment horizontal="center"/>
    </xf>
    <xf numFmtId="0" fontId="26" fillId="7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44" fontId="27" fillId="0" borderId="20" xfId="1" applyFont="1" applyBorder="1" applyAlignment="1">
      <alignment horizontal="left"/>
    </xf>
    <xf numFmtId="44" fontId="27" fillId="0" borderId="26" xfId="1" applyFont="1" applyBorder="1" applyAlignment="1">
      <alignment horizontal="left"/>
    </xf>
    <xf numFmtId="44" fontId="27" fillId="0" borderId="0" xfId="1" applyFont="1" applyAlignment="1">
      <alignment horizontal="left"/>
    </xf>
    <xf numFmtId="44" fontId="27" fillId="0" borderId="15" xfId="1" applyFont="1" applyBorder="1" applyAlignment="1">
      <alignment horizontal="left"/>
    </xf>
    <xf numFmtId="44" fontId="27" fillId="0" borderId="8" xfId="1" applyFont="1" applyBorder="1" applyAlignment="1">
      <alignment horizontal="left"/>
    </xf>
    <xf numFmtId="44" fontId="27" fillId="0" borderId="13" xfId="1" applyFont="1" applyBorder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6" fillId="0" borderId="4" xfId="0" applyFont="1" applyBorder="1"/>
    <xf numFmtId="0" fontId="18" fillId="4" borderId="12" xfId="0" applyFont="1" applyFill="1" applyBorder="1"/>
    <xf numFmtId="0" fontId="20" fillId="0" borderId="13" xfId="0" applyFont="1" applyBorder="1"/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164" fontId="6" fillId="0" borderId="10" xfId="0" applyNumberFormat="1" applyFont="1" applyBorder="1" applyAlignment="1">
      <alignment horizontal="right" vertical="center"/>
    </xf>
    <xf numFmtId="164" fontId="6" fillId="0" borderId="11" xfId="0" applyNumberFormat="1" applyFont="1" applyBorder="1" applyAlignment="1">
      <alignment horizontal="right" vertical="center"/>
    </xf>
    <xf numFmtId="0" fontId="22" fillId="6" borderId="20" xfId="0" applyFont="1" applyFill="1" applyBorder="1" applyAlignment="1">
      <alignment horizontal="left" wrapText="1"/>
    </xf>
    <xf numFmtId="0" fontId="22" fillId="6" borderId="18" xfId="0" applyFont="1" applyFill="1" applyBorder="1" applyAlignment="1">
      <alignment horizontal="left" wrapText="1"/>
    </xf>
    <xf numFmtId="0" fontId="22" fillId="6" borderId="26" xfId="0" applyFont="1" applyFill="1" applyBorder="1" applyAlignment="1">
      <alignment horizontal="left" wrapText="1"/>
    </xf>
    <xf numFmtId="0" fontId="22" fillId="6" borderId="16" xfId="0" applyFont="1" applyFill="1" applyBorder="1" applyAlignment="1">
      <alignment horizontal="left" wrapText="1"/>
    </xf>
    <xf numFmtId="0" fontId="22" fillId="6" borderId="26" xfId="0" applyFont="1" applyFill="1" applyBorder="1" applyAlignment="1">
      <alignment horizontal="center"/>
    </xf>
    <xf numFmtId="0" fontId="22" fillId="6" borderId="13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44" fontId="26" fillId="5" borderId="31" xfId="1" applyFont="1" applyFill="1" applyBorder="1" applyAlignment="1">
      <alignment horizontal="center" vertical="center"/>
    </xf>
    <xf numFmtId="44" fontId="26" fillId="5" borderId="30" xfId="1" applyFont="1" applyFill="1" applyBorder="1" applyAlignment="1">
      <alignment horizontal="center" vertical="center"/>
    </xf>
    <xf numFmtId="44" fontId="26" fillId="5" borderId="29" xfId="1" applyFont="1" applyFill="1" applyBorder="1" applyAlignment="1">
      <alignment horizontal="center" vertical="center"/>
    </xf>
    <xf numFmtId="44" fontId="26" fillId="5" borderId="22" xfId="1" applyFont="1" applyFill="1" applyBorder="1" applyAlignment="1">
      <alignment horizontal="center" vertical="center"/>
    </xf>
    <xf numFmtId="0" fontId="22" fillId="0" borderId="20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0" fontId="26" fillId="7" borderId="37" xfId="0" applyFont="1" applyFill="1" applyBorder="1" applyAlignment="1">
      <alignment horizontal="center"/>
    </xf>
    <xf numFmtId="0" fontId="22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22" fillId="0" borderId="20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6" fillId="5" borderId="19" xfId="0" applyFont="1" applyFill="1" applyBorder="1" applyAlignment="1">
      <alignment horizontal="center" vertical="center"/>
    </xf>
    <xf numFmtId="0" fontId="26" fillId="5" borderId="17" xfId="0" applyFont="1" applyFill="1" applyBorder="1" applyAlignment="1">
      <alignment horizontal="center" vertical="center"/>
    </xf>
    <xf numFmtId="0" fontId="26" fillId="5" borderId="21" xfId="0" applyFont="1" applyFill="1" applyBorder="1" applyAlignment="1">
      <alignment horizontal="center" vertical="center"/>
    </xf>
    <xf numFmtId="0" fontId="26" fillId="5" borderId="22" xfId="0" applyFont="1" applyFill="1" applyBorder="1" applyAlignment="1">
      <alignment horizontal="center" vertical="center"/>
    </xf>
    <xf numFmtId="164" fontId="26" fillId="5" borderId="19" xfId="0" applyNumberFormat="1" applyFont="1" applyFill="1" applyBorder="1" applyAlignment="1">
      <alignment horizontal="center" vertical="center"/>
    </xf>
    <xf numFmtId="164" fontId="26" fillId="5" borderId="21" xfId="0" applyNumberFormat="1" applyFont="1" applyFill="1" applyBorder="1" applyAlignment="1">
      <alignment horizontal="center" vertical="center"/>
    </xf>
    <xf numFmtId="164" fontId="26" fillId="5" borderId="50" xfId="0" applyNumberFormat="1" applyFont="1" applyFill="1" applyBorder="1" applyAlignment="1">
      <alignment horizontal="center" vertical="center"/>
    </xf>
    <xf numFmtId="164" fontId="26" fillId="5" borderId="25" xfId="0" applyNumberFormat="1" applyFont="1" applyFill="1" applyBorder="1" applyAlignment="1">
      <alignment horizontal="center" vertical="center"/>
    </xf>
    <xf numFmtId="0" fontId="22" fillId="6" borderId="19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" fillId="0" borderId="71" xfId="0" applyFont="1" applyBorder="1"/>
    <xf numFmtId="164" fontId="6" fillId="0" borderId="59" xfId="0" applyNumberFormat="1" applyFont="1" applyBorder="1"/>
    <xf numFmtId="167" fontId="6" fillId="0" borderId="59" xfId="0" applyNumberFormat="1" applyFont="1" applyBorder="1"/>
    <xf numFmtId="164" fontId="6" fillId="0" borderId="72" xfId="0" applyNumberFormat="1" applyFont="1" applyBorder="1"/>
    <xf numFmtId="0" fontId="1" fillId="0" borderId="73" xfId="0" applyFont="1" applyBorder="1"/>
    <xf numFmtId="164" fontId="22" fillId="0" borderId="63" xfId="0" applyNumberFormat="1" applyFont="1" applyBorder="1"/>
    <xf numFmtId="164" fontId="6" fillId="0" borderId="63" xfId="0" applyNumberFormat="1" applyFont="1" applyBorder="1"/>
    <xf numFmtId="164" fontId="6" fillId="0" borderId="74" xfId="0" applyNumberFormat="1" applyFont="1" applyBorder="1"/>
    <xf numFmtId="0" fontId="1" fillId="0" borderId="75" xfId="0" applyFont="1" applyBorder="1"/>
    <xf numFmtId="164" fontId="6" fillId="0" borderId="66" xfId="0" applyNumberFormat="1" applyFont="1" applyBorder="1"/>
    <xf numFmtId="164" fontId="6" fillId="0" borderId="76" xfId="0" applyNumberFormat="1" applyFont="1" applyBorder="1"/>
    <xf numFmtId="0" fontId="32" fillId="8" borderId="28" xfId="0" applyFont="1" applyFill="1" applyBorder="1" applyAlignment="1">
      <alignment horizontal="center" vertical="center"/>
    </xf>
    <xf numFmtId="0" fontId="32" fillId="8" borderId="31" xfId="0" applyFont="1" applyFill="1" applyBorder="1" applyAlignment="1">
      <alignment horizontal="center" vertical="center"/>
    </xf>
    <xf numFmtId="0" fontId="32" fillId="8" borderId="29" xfId="0" applyFont="1" applyFill="1" applyBorder="1" applyAlignment="1">
      <alignment horizontal="center" vertical="center"/>
    </xf>
    <xf numFmtId="0" fontId="32" fillId="8" borderId="21" xfId="0" applyFont="1" applyFill="1" applyBorder="1" applyAlignment="1">
      <alignment horizontal="center" vertical="center"/>
    </xf>
    <xf numFmtId="0" fontId="32" fillId="8" borderId="30" xfId="0" applyFont="1" applyFill="1" applyBorder="1" applyAlignment="1">
      <alignment horizontal="center" vertical="center"/>
    </xf>
    <xf numFmtId="0" fontId="32" fillId="8" borderId="22" xfId="0" applyFont="1" applyFill="1" applyBorder="1" applyAlignment="1">
      <alignment horizontal="center" vertical="center"/>
    </xf>
    <xf numFmtId="0" fontId="3" fillId="0" borderId="83" xfId="0" applyFont="1" applyBorder="1" applyAlignment="1">
      <alignment horizontal="left" vertical="center"/>
    </xf>
    <xf numFmtId="0" fontId="3" fillId="0" borderId="84" xfId="0" applyFont="1" applyBorder="1" applyAlignment="1">
      <alignment horizontal="left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22" fillId="0" borderId="79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9" fontId="0" fillId="0" borderId="29" xfId="2" applyFont="1" applyBorder="1" applyAlignment="1">
      <alignment vertical="center"/>
    </xf>
    <xf numFmtId="0" fontId="22" fillId="0" borderId="77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9" fontId="0" fillId="0" borderId="78" xfId="2" applyFont="1" applyBorder="1" applyAlignment="1">
      <alignment vertical="center"/>
    </xf>
    <xf numFmtId="0" fontId="22" fillId="0" borderId="81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  <xf numFmtId="9" fontId="0" fillId="0" borderId="22" xfId="2" applyFont="1" applyBorder="1" applyAlignment="1">
      <alignment vertical="center"/>
    </xf>
    <xf numFmtId="0" fontId="18" fillId="5" borderId="1" xfId="0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37"/>
  <sheetViews>
    <sheetView showGridLines="0" zoomScale="80" zoomScaleNormal="80" workbookViewId="0">
      <selection activeCell="H21" sqref="H21"/>
    </sheetView>
  </sheetViews>
  <sheetFormatPr baseColWidth="10" defaultColWidth="12.6640625" defaultRowHeight="15.75" customHeight="1"/>
  <cols>
    <col min="1" max="1" width="4.33203125" customWidth="1"/>
    <col min="2" max="2" width="12.88671875" customWidth="1"/>
    <col min="3" max="3" width="18" customWidth="1"/>
    <col min="4" max="5" width="18.77734375" customWidth="1"/>
    <col min="6" max="6" width="17.77734375" customWidth="1"/>
    <col min="7" max="7" width="20" customWidth="1"/>
    <col min="8" max="8" width="14.88671875" customWidth="1"/>
    <col min="9" max="11" width="18.77734375" customWidth="1"/>
    <col min="12" max="12" width="23.6640625" customWidth="1"/>
    <col min="14" max="14" width="15.44140625" customWidth="1"/>
    <col min="15" max="15" width="18.88671875" customWidth="1"/>
    <col min="17" max="18" width="14.44140625" customWidth="1"/>
    <col min="19" max="19" width="13.33203125" bestFit="1" customWidth="1"/>
    <col min="20" max="20" width="22.88671875" customWidth="1"/>
  </cols>
  <sheetData>
    <row r="1" spans="1:21" ht="13.8">
      <c r="G1" s="3"/>
      <c r="H1" s="3"/>
    </row>
    <row r="2" spans="1:21" ht="13.8">
      <c r="C2" s="208" t="s">
        <v>45</v>
      </c>
      <c r="D2" s="209"/>
      <c r="E2" s="209"/>
      <c r="F2" s="209"/>
      <c r="G2" s="209"/>
      <c r="H2" s="209"/>
      <c r="I2" s="209"/>
      <c r="J2" s="210"/>
      <c r="L2" s="208" t="s">
        <v>48</v>
      </c>
      <c r="M2" s="209"/>
      <c r="N2" s="209"/>
      <c r="O2" s="209"/>
      <c r="P2" s="209"/>
      <c r="Q2" s="209"/>
      <c r="R2" s="209"/>
      <c r="S2" s="210"/>
    </row>
    <row r="3" spans="1:21" ht="13.8" customHeight="1">
      <c r="C3" s="270" t="s">
        <v>72</v>
      </c>
      <c r="D3" s="272" t="s">
        <v>46</v>
      </c>
      <c r="E3" s="272" t="s">
        <v>78</v>
      </c>
      <c r="F3" s="224" t="s">
        <v>122</v>
      </c>
      <c r="G3" s="233" t="s">
        <v>126</v>
      </c>
      <c r="H3" s="224" t="s">
        <v>123</v>
      </c>
      <c r="I3" s="233" t="s">
        <v>125</v>
      </c>
      <c r="J3" s="224" t="s">
        <v>124</v>
      </c>
      <c r="L3" s="194" t="s">
        <v>72</v>
      </c>
      <c r="M3" s="195"/>
      <c r="N3" s="195" t="s">
        <v>140</v>
      </c>
      <c r="O3" s="213" t="s">
        <v>73</v>
      </c>
      <c r="P3" s="195" t="s">
        <v>139</v>
      </c>
      <c r="Q3" s="274" t="s">
        <v>74</v>
      </c>
      <c r="R3" s="195" t="s">
        <v>141</v>
      </c>
      <c r="S3" s="268" t="s">
        <v>75</v>
      </c>
    </row>
    <row r="4" spans="1:21" ht="13.8" customHeight="1">
      <c r="C4" s="271"/>
      <c r="D4" s="234"/>
      <c r="E4" s="234"/>
      <c r="F4" s="225"/>
      <c r="G4" s="273"/>
      <c r="H4" s="225"/>
      <c r="I4" s="234"/>
      <c r="J4" s="225"/>
      <c r="L4" s="196"/>
      <c r="M4" s="197"/>
      <c r="N4" s="197"/>
      <c r="O4" s="214"/>
      <c r="P4" s="197"/>
      <c r="Q4" s="275"/>
      <c r="R4" s="197"/>
      <c r="S4" s="269"/>
    </row>
    <row r="5" spans="1:21" ht="13.8" customHeight="1">
      <c r="B5" s="206" t="s">
        <v>134</v>
      </c>
      <c r="C5" s="36" t="s">
        <v>76</v>
      </c>
      <c r="D5" s="35">
        <v>0.1</v>
      </c>
      <c r="E5" s="276">
        <v>14000</v>
      </c>
      <c r="F5" s="101">
        <f>(E5/12*3)*(25*D5)</f>
        <v>8750</v>
      </c>
      <c r="G5" s="230">
        <f>E5+(E5*120%)-(E5*5%)</f>
        <v>30100</v>
      </c>
      <c r="H5" s="101">
        <f>G5*(25*D5)</f>
        <v>75250</v>
      </c>
      <c r="I5" s="230">
        <f>G5+(G5*120%)-(G5*5%)</f>
        <v>64715</v>
      </c>
      <c r="J5" s="101">
        <f>I5*(25*D5)</f>
        <v>161787.5</v>
      </c>
      <c r="L5" s="248" t="s">
        <v>49</v>
      </c>
      <c r="M5" s="249"/>
      <c r="N5" s="43"/>
      <c r="O5" s="104"/>
      <c r="P5" s="43"/>
      <c r="Q5" s="105"/>
      <c r="R5" s="112"/>
      <c r="S5" s="106"/>
      <c r="T5" s="107"/>
      <c r="U5" s="107"/>
    </row>
    <row r="6" spans="1:21" ht="13.8" customHeight="1">
      <c r="A6" s="3"/>
      <c r="B6" s="232"/>
      <c r="C6" s="94" t="s">
        <v>80</v>
      </c>
      <c r="D6" s="100" t="s">
        <v>133</v>
      </c>
      <c r="E6" s="277"/>
      <c r="F6" s="49">
        <f>(E5/12*3)*0.7*1</f>
        <v>2450</v>
      </c>
      <c r="G6" s="231"/>
      <c r="H6" s="49">
        <f>G5*0.7*1</f>
        <v>21070</v>
      </c>
      <c r="I6" s="231"/>
      <c r="J6" s="49">
        <f>I5*0.7*1</f>
        <v>45300.5</v>
      </c>
      <c r="L6" s="250" t="s">
        <v>50</v>
      </c>
      <c r="M6" s="251"/>
      <c r="N6" s="147"/>
      <c r="O6" s="148"/>
      <c r="P6" s="147"/>
      <c r="Q6" s="148"/>
      <c r="R6" s="149"/>
      <c r="S6" s="150"/>
      <c r="T6" s="107"/>
      <c r="U6" s="107"/>
    </row>
    <row r="7" spans="1:21" ht="14.4" customHeight="1">
      <c r="A7" s="3"/>
      <c r="B7" s="217" t="s">
        <v>121</v>
      </c>
      <c r="C7" s="235" t="s">
        <v>79</v>
      </c>
      <c r="D7" s="228">
        <v>4.99</v>
      </c>
      <c r="E7" s="220">
        <f>E9*20%</f>
        <v>18.680000000000003</v>
      </c>
      <c r="F7" s="228">
        <f>19*(D7*3)</f>
        <v>284.43</v>
      </c>
      <c r="G7" s="220">
        <f>G9*35%</f>
        <v>81.724999999999994</v>
      </c>
      <c r="H7" s="228">
        <f>82*(D7*12)</f>
        <v>4910.16</v>
      </c>
      <c r="I7" s="220">
        <f>I9*50%</f>
        <v>186.8</v>
      </c>
      <c r="J7" s="228">
        <f>187*(D7*12)</f>
        <v>11197.560000000001</v>
      </c>
      <c r="L7" s="242" t="s">
        <v>51</v>
      </c>
      <c r="M7" s="243"/>
      <c r="N7" s="151">
        <f>D33</f>
        <v>1617.3</v>
      </c>
      <c r="O7" s="152">
        <v>14</v>
      </c>
      <c r="P7" s="151">
        <f>E32</f>
        <v>13650.3</v>
      </c>
      <c r="Q7" s="152">
        <v>98</v>
      </c>
      <c r="R7" s="153">
        <f>F32</f>
        <v>29290.05</v>
      </c>
      <c r="S7" s="154">
        <v>210</v>
      </c>
      <c r="T7" s="107"/>
      <c r="U7" s="107"/>
    </row>
    <row r="8" spans="1:21" ht="13.8">
      <c r="A8" s="3"/>
      <c r="B8" s="218"/>
      <c r="C8" s="236"/>
      <c r="D8" s="229"/>
      <c r="E8" s="221"/>
      <c r="F8" s="229"/>
      <c r="G8" s="221"/>
      <c r="H8" s="229"/>
      <c r="I8" s="221"/>
      <c r="J8" s="229"/>
      <c r="L8" s="242" t="s">
        <v>52</v>
      </c>
      <c r="M8" s="243"/>
      <c r="N8" s="151">
        <f>D32</f>
        <v>1617.3</v>
      </c>
      <c r="O8" s="152">
        <v>14</v>
      </c>
      <c r="P8" s="151">
        <f>E33</f>
        <v>13650.3</v>
      </c>
      <c r="Q8" s="152">
        <v>98</v>
      </c>
      <c r="R8" s="153">
        <f>F33</f>
        <v>29290.05</v>
      </c>
      <c r="S8" s="154">
        <v>210</v>
      </c>
      <c r="T8" s="107"/>
      <c r="U8" s="107"/>
    </row>
    <row r="9" spans="1:21" ht="13.8" customHeight="1">
      <c r="A9" s="3"/>
      <c r="B9" s="218"/>
      <c r="C9" s="237" t="s">
        <v>119</v>
      </c>
      <c r="D9" s="239">
        <v>99.99</v>
      </c>
      <c r="E9" s="222">
        <f xml:space="preserve"> 467*20%</f>
        <v>93.4</v>
      </c>
      <c r="F9" s="226">
        <f>94*(D9/12*3)</f>
        <v>2349.7649999999999</v>
      </c>
      <c r="G9" s="222">
        <f xml:space="preserve"> 467*50%</f>
        <v>233.5</v>
      </c>
      <c r="H9" s="226">
        <f>234*D9</f>
        <v>23397.66</v>
      </c>
      <c r="I9" s="222">
        <f xml:space="preserve"> 467*80%</f>
        <v>373.6</v>
      </c>
      <c r="J9" s="226">
        <f>374*D9</f>
        <v>37396.259999999995</v>
      </c>
      <c r="L9" s="244" t="s">
        <v>53</v>
      </c>
      <c r="M9" s="245"/>
      <c r="N9" s="155">
        <f>SUM(N7:N8)*100/90</f>
        <v>3594</v>
      </c>
      <c r="O9" s="156">
        <v>28</v>
      </c>
      <c r="P9" s="157">
        <f>SUM(P7:P8)*100/90</f>
        <v>30334</v>
      </c>
      <c r="Q9" s="156">
        <v>224</v>
      </c>
      <c r="R9" s="158">
        <f>SUM(R7:R8)*100/90</f>
        <v>65089</v>
      </c>
      <c r="S9" s="159">
        <v>469</v>
      </c>
      <c r="T9" s="107"/>
      <c r="U9" s="107"/>
    </row>
    <row r="10" spans="1:21" ht="13.8">
      <c r="A10" s="3"/>
      <c r="B10" s="219"/>
      <c r="C10" s="238"/>
      <c r="D10" s="240"/>
      <c r="E10" s="241"/>
      <c r="F10" s="227"/>
      <c r="G10" s="241"/>
      <c r="H10" s="227"/>
      <c r="I10" s="223"/>
      <c r="J10" s="227"/>
      <c r="L10" s="262" t="s">
        <v>54</v>
      </c>
      <c r="M10" s="263"/>
      <c r="N10" s="45"/>
      <c r="O10" s="48"/>
      <c r="P10" s="114"/>
      <c r="Q10" s="48"/>
      <c r="R10" s="115"/>
      <c r="S10" s="122"/>
      <c r="T10" s="107"/>
      <c r="U10" s="107"/>
    </row>
    <row r="11" spans="1:21" ht="13.8">
      <c r="A11" s="3"/>
      <c r="B11" s="30"/>
      <c r="C11" s="30"/>
      <c r="D11" s="91" t="s">
        <v>0</v>
      </c>
      <c r="E11" s="93"/>
      <c r="F11" s="92">
        <f>SUM(F3:F9)</f>
        <v>13834.195</v>
      </c>
      <c r="G11" s="93"/>
      <c r="H11" s="92">
        <f>SUM(H3:H9)</f>
        <v>124627.82</v>
      </c>
      <c r="I11" s="93"/>
      <c r="J11" s="92">
        <f>SUM(J3:J9)</f>
        <v>255681.82</v>
      </c>
      <c r="L11" s="246" t="s">
        <v>55</v>
      </c>
      <c r="M11" s="247"/>
      <c r="N11" s="147"/>
      <c r="O11" s="148"/>
      <c r="P11" s="160"/>
      <c r="Q11" s="148"/>
      <c r="R11" s="161"/>
      <c r="S11" s="150"/>
      <c r="T11" s="107"/>
      <c r="U11" s="107"/>
    </row>
    <row r="12" spans="1:21" ht="13.8">
      <c r="A12" s="3"/>
      <c r="B12" s="30"/>
      <c r="C12" s="30"/>
      <c r="D12" s="102"/>
      <c r="E12" s="97"/>
      <c r="F12" s="63"/>
      <c r="G12" s="97"/>
      <c r="L12" s="242" t="s">
        <v>56</v>
      </c>
      <c r="M12" s="243"/>
      <c r="N12" s="162">
        <f>N9</f>
        <v>3594</v>
      </c>
      <c r="O12" s="152">
        <v>40</v>
      </c>
      <c r="P12" s="151">
        <f>P9</f>
        <v>30334</v>
      </c>
      <c r="Q12" s="152">
        <f>320</f>
        <v>320</v>
      </c>
      <c r="R12" s="153">
        <f>R9</f>
        <v>65089</v>
      </c>
      <c r="S12" s="154">
        <v>670</v>
      </c>
      <c r="T12" s="107"/>
      <c r="U12" s="107"/>
    </row>
    <row r="13" spans="1:21" ht="15.75" customHeight="1">
      <c r="B13" s="217" t="s">
        <v>121</v>
      </c>
      <c r="C13" s="192" t="s">
        <v>118</v>
      </c>
      <c r="D13" s="193"/>
      <c r="E13" s="193"/>
      <c r="F13" s="193"/>
      <c r="G13" s="193"/>
      <c r="H13" s="98"/>
      <c r="I13" s="98"/>
      <c r="J13" s="96"/>
      <c r="L13" s="242" t="s">
        <v>57</v>
      </c>
      <c r="M13" s="243"/>
      <c r="N13" s="162">
        <f>N9</f>
        <v>3594</v>
      </c>
      <c r="O13" s="152">
        <v>40</v>
      </c>
      <c r="P13" s="151">
        <f>P9</f>
        <v>30334</v>
      </c>
      <c r="Q13" s="163">
        <v>320</v>
      </c>
      <c r="R13" s="164">
        <f>R9</f>
        <v>65089</v>
      </c>
      <c r="S13" s="154">
        <v>670</v>
      </c>
      <c r="T13" s="107"/>
      <c r="U13" s="107"/>
    </row>
    <row r="14" spans="1:21" ht="13.8">
      <c r="B14" s="218"/>
      <c r="C14" s="192" t="s">
        <v>137</v>
      </c>
      <c r="D14" s="193"/>
      <c r="E14" s="193"/>
      <c r="F14" s="193"/>
      <c r="G14" s="193"/>
      <c r="H14" s="193"/>
      <c r="I14" s="193"/>
      <c r="J14" s="90"/>
      <c r="L14" s="264" t="s">
        <v>58</v>
      </c>
      <c r="M14" s="265"/>
      <c r="N14" s="162"/>
      <c r="O14" s="152"/>
      <c r="P14" s="151"/>
      <c r="Q14" s="163"/>
      <c r="R14" s="164"/>
      <c r="S14" s="154"/>
      <c r="T14" s="107"/>
      <c r="U14" s="107"/>
    </row>
    <row r="15" spans="1:21" ht="13.8" customHeight="1">
      <c r="B15" s="218"/>
      <c r="C15" s="192" t="s">
        <v>138</v>
      </c>
      <c r="D15" s="193"/>
      <c r="E15" s="193"/>
      <c r="F15" s="193"/>
      <c r="G15" s="193"/>
      <c r="H15" s="193"/>
      <c r="I15" s="193"/>
      <c r="J15" s="96"/>
      <c r="L15" s="242" t="s">
        <v>59</v>
      </c>
      <c r="M15" s="243"/>
      <c r="N15" s="162">
        <f>N13</f>
        <v>3594</v>
      </c>
      <c r="O15" s="152">
        <v>60</v>
      </c>
      <c r="P15" s="151">
        <f>P13</f>
        <v>30334</v>
      </c>
      <c r="Q15" s="163">
        <v>480</v>
      </c>
      <c r="R15" s="164">
        <f>R9</f>
        <v>65089</v>
      </c>
      <c r="S15" s="154">
        <v>1005</v>
      </c>
      <c r="T15" s="107"/>
      <c r="U15" s="107"/>
    </row>
    <row r="16" spans="1:21" ht="13.8">
      <c r="B16" s="219"/>
      <c r="C16" s="192" t="s">
        <v>145</v>
      </c>
      <c r="D16" s="193"/>
      <c r="E16" s="193"/>
      <c r="F16" s="193"/>
      <c r="G16" s="193"/>
      <c r="H16" s="193"/>
      <c r="I16" s="37"/>
      <c r="L16" s="266" t="s">
        <v>60</v>
      </c>
      <c r="M16" s="267"/>
      <c r="N16" s="162"/>
      <c r="O16" s="163"/>
      <c r="P16" s="151"/>
      <c r="Q16" s="163"/>
      <c r="R16" s="164"/>
      <c r="S16" s="165"/>
      <c r="T16" s="108"/>
      <c r="U16" s="107"/>
    </row>
    <row r="17" spans="2:21" ht="13.8">
      <c r="C17" s="90"/>
      <c r="D17" s="90"/>
      <c r="E17" s="90"/>
      <c r="F17" s="90"/>
      <c r="G17" s="90"/>
      <c r="H17" s="90"/>
      <c r="L17" s="252" t="s">
        <v>59</v>
      </c>
      <c r="M17" s="253"/>
      <c r="N17" s="155">
        <f>N15</f>
        <v>3594</v>
      </c>
      <c r="O17" s="166">
        <v>60</v>
      </c>
      <c r="P17" s="157">
        <f>P15</f>
        <v>30334</v>
      </c>
      <c r="Q17" s="166">
        <v>480</v>
      </c>
      <c r="R17" s="167">
        <f>R9</f>
        <v>65089</v>
      </c>
      <c r="S17" s="168">
        <v>1005</v>
      </c>
      <c r="T17" s="108"/>
      <c r="U17" s="107"/>
    </row>
    <row r="18" spans="2:21" ht="13.8">
      <c r="K18" s="95"/>
      <c r="L18" s="256" t="s">
        <v>61</v>
      </c>
      <c r="M18" s="257"/>
      <c r="N18" s="45"/>
      <c r="O18" s="47"/>
      <c r="P18" s="114"/>
      <c r="Q18" s="47"/>
      <c r="R18" s="116"/>
      <c r="S18" s="47"/>
      <c r="T18" s="108"/>
      <c r="U18" s="107"/>
    </row>
    <row r="19" spans="2:21" ht="13.8" customHeight="1">
      <c r="B19" s="206" t="s">
        <v>134</v>
      </c>
      <c r="C19" s="192" t="s">
        <v>131</v>
      </c>
      <c r="D19" s="193"/>
      <c r="E19" s="193"/>
      <c r="F19" s="193"/>
      <c r="G19" s="193"/>
      <c r="H19" s="30"/>
      <c r="I19" s="66"/>
      <c r="J19" s="90"/>
      <c r="K19" s="44"/>
      <c r="L19" s="254" t="s">
        <v>62</v>
      </c>
      <c r="M19" s="255"/>
      <c r="N19" s="147"/>
      <c r="O19" s="169"/>
      <c r="P19" s="160"/>
      <c r="Q19" s="169"/>
      <c r="R19" s="170"/>
      <c r="S19" s="171"/>
      <c r="T19" s="108"/>
      <c r="U19" s="107"/>
    </row>
    <row r="20" spans="2:21" ht="13.8">
      <c r="B20" s="207"/>
      <c r="C20" s="192" t="s">
        <v>132</v>
      </c>
      <c r="D20" s="193"/>
      <c r="E20" s="193"/>
      <c r="F20" s="44"/>
      <c r="G20" s="44"/>
      <c r="I20" s="30"/>
      <c r="K20" s="44"/>
      <c r="L20" s="260" t="s">
        <v>63</v>
      </c>
      <c r="M20" s="261"/>
      <c r="N20" s="162">
        <f>N17</f>
        <v>3594</v>
      </c>
      <c r="O20" s="163">
        <v>11.32</v>
      </c>
      <c r="P20" s="151">
        <f>P17</f>
        <v>30334</v>
      </c>
      <c r="Q20" s="163">
        <v>90.56</v>
      </c>
      <c r="R20" s="164">
        <f>R9</f>
        <v>65089</v>
      </c>
      <c r="S20" s="165">
        <v>189.61</v>
      </c>
      <c r="T20" s="108"/>
      <c r="U20" s="107"/>
    </row>
    <row r="21" spans="2:21" ht="13.8">
      <c r="K21" s="44"/>
      <c r="L21" s="260" t="s">
        <v>64</v>
      </c>
      <c r="M21" s="261"/>
      <c r="N21" s="162">
        <f>N20</f>
        <v>3594</v>
      </c>
      <c r="O21" s="163">
        <v>68</v>
      </c>
      <c r="P21" s="151">
        <f>P20</f>
        <v>30334</v>
      </c>
      <c r="Q21" s="163">
        <v>544</v>
      </c>
      <c r="R21" s="164">
        <f>R9</f>
        <v>65089</v>
      </c>
      <c r="S21" s="165">
        <v>1139</v>
      </c>
      <c r="T21" s="108"/>
      <c r="U21" s="107"/>
    </row>
    <row r="22" spans="2:21" ht="19.8" customHeight="1">
      <c r="K22" s="44"/>
      <c r="L22" s="258" t="s">
        <v>65</v>
      </c>
      <c r="M22" s="259"/>
      <c r="N22" s="162"/>
      <c r="O22" s="163"/>
      <c r="P22" s="151"/>
      <c r="Q22" s="163"/>
      <c r="R22" s="164"/>
      <c r="S22" s="165"/>
      <c r="T22" s="108"/>
      <c r="U22" s="107"/>
    </row>
    <row r="23" spans="2:21" ht="13.8">
      <c r="B23" s="208" t="s">
        <v>95</v>
      </c>
      <c r="C23" s="209"/>
      <c r="D23" s="209"/>
      <c r="E23" s="209"/>
      <c r="F23" s="209"/>
      <c r="G23" s="209"/>
      <c r="H23" s="209"/>
      <c r="I23" s="210"/>
      <c r="K23" s="44"/>
      <c r="L23" s="260" t="s">
        <v>66</v>
      </c>
      <c r="M23" s="261"/>
      <c r="N23" s="162">
        <f>N21</f>
        <v>3594</v>
      </c>
      <c r="O23" s="163">
        <v>20</v>
      </c>
      <c r="P23" s="151">
        <f>P21</f>
        <v>30334</v>
      </c>
      <c r="Q23" s="163">
        <v>160</v>
      </c>
      <c r="R23" s="164">
        <f>R9</f>
        <v>65089</v>
      </c>
      <c r="S23" s="165">
        <v>335</v>
      </c>
      <c r="T23" s="108"/>
      <c r="U23" s="107"/>
    </row>
    <row r="24" spans="2:21" ht="15.75" customHeight="1">
      <c r="B24" s="194" t="s">
        <v>72</v>
      </c>
      <c r="C24" s="195"/>
      <c r="D24" s="211" t="s">
        <v>94</v>
      </c>
      <c r="E24" s="211" t="s">
        <v>96</v>
      </c>
      <c r="F24" s="213" t="s">
        <v>97</v>
      </c>
      <c r="G24" s="213" t="s">
        <v>98</v>
      </c>
      <c r="K24" s="44"/>
      <c r="L24" s="258" t="s">
        <v>67</v>
      </c>
      <c r="M24" s="259"/>
      <c r="N24" s="162"/>
      <c r="O24" s="163"/>
      <c r="P24" s="151"/>
      <c r="Q24" s="163"/>
      <c r="R24" s="164"/>
      <c r="S24" s="165"/>
      <c r="T24" s="108"/>
      <c r="U24" s="107"/>
    </row>
    <row r="25" spans="2:21" ht="13.8">
      <c r="B25" s="196"/>
      <c r="C25" s="197"/>
      <c r="D25" s="212"/>
      <c r="E25" s="212"/>
      <c r="F25" s="214"/>
      <c r="G25" s="214"/>
      <c r="K25" s="44"/>
      <c r="L25" s="260" t="s">
        <v>59</v>
      </c>
      <c r="M25" s="261"/>
      <c r="N25" s="162">
        <f>N23</f>
        <v>3594</v>
      </c>
      <c r="O25" s="163">
        <v>160</v>
      </c>
      <c r="P25" s="151">
        <f>P23</f>
        <v>30334</v>
      </c>
      <c r="Q25" s="163">
        <v>1280</v>
      </c>
      <c r="R25" s="164">
        <f>R9</f>
        <v>65089</v>
      </c>
      <c r="S25" s="165">
        <v>2680</v>
      </c>
      <c r="T25" s="108"/>
      <c r="U25" s="107"/>
    </row>
    <row r="26" spans="2:21" ht="13.8">
      <c r="B26" s="202" t="s">
        <v>91</v>
      </c>
      <c r="C26" s="203"/>
      <c r="D26" s="136">
        <v>100</v>
      </c>
      <c r="E26" s="136">
        <v>0</v>
      </c>
      <c r="F26" s="137">
        <v>0.3</v>
      </c>
      <c r="G26" s="137">
        <v>0.15</v>
      </c>
      <c r="K26" s="44"/>
      <c r="L26" s="258" t="s">
        <v>68</v>
      </c>
      <c r="M26" s="259"/>
      <c r="N26" s="162"/>
      <c r="O26" s="163"/>
      <c r="P26" s="151"/>
      <c r="Q26" s="163"/>
      <c r="R26" s="164"/>
      <c r="S26" s="165"/>
      <c r="T26" s="108"/>
      <c r="U26" s="107"/>
    </row>
    <row r="27" spans="2:21" ht="13.8">
      <c r="B27" s="204" t="s">
        <v>92</v>
      </c>
      <c r="C27" s="205"/>
      <c r="D27" s="138">
        <v>0</v>
      </c>
      <c r="E27" s="138">
        <v>25</v>
      </c>
      <c r="F27" s="139">
        <v>0.15</v>
      </c>
      <c r="G27" s="139">
        <v>0.15</v>
      </c>
      <c r="K27" s="44"/>
      <c r="L27" s="260" t="s">
        <v>59</v>
      </c>
      <c r="M27" s="261"/>
      <c r="N27" s="162">
        <f>N25</f>
        <v>3594</v>
      </c>
      <c r="O27" s="163">
        <v>100</v>
      </c>
      <c r="P27" s="151">
        <f>P25</f>
        <v>30334</v>
      </c>
      <c r="Q27" s="163">
        <v>800</v>
      </c>
      <c r="R27" s="164">
        <f>R9</f>
        <v>65089</v>
      </c>
      <c r="S27" s="165">
        <v>1675</v>
      </c>
      <c r="T27" s="108"/>
      <c r="U27" s="107"/>
    </row>
    <row r="28" spans="2:21" ht="19.8" customHeight="1">
      <c r="B28" s="44"/>
      <c r="C28" s="44"/>
      <c r="D28" s="44"/>
      <c r="E28" s="44"/>
      <c r="F28" s="44"/>
      <c r="G28" s="44"/>
      <c r="H28" s="44"/>
      <c r="I28" s="44"/>
      <c r="K28" s="31"/>
      <c r="L28" s="258" t="s">
        <v>69</v>
      </c>
      <c r="M28" s="259"/>
      <c r="N28" s="162"/>
      <c r="O28" s="163"/>
      <c r="P28" s="151"/>
      <c r="Q28" s="163"/>
      <c r="R28" s="164"/>
      <c r="S28" s="165"/>
      <c r="T28" s="108"/>
      <c r="U28" s="107"/>
    </row>
    <row r="29" spans="2:21" ht="13.8">
      <c r="B29" s="44"/>
      <c r="C29" s="44"/>
      <c r="D29" s="44"/>
      <c r="E29" s="44"/>
      <c r="F29" s="44"/>
      <c r="G29" s="44"/>
      <c r="H29" s="44"/>
      <c r="I29" s="44"/>
      <c r="K29" s="31"/>
      <c r="L29" s="260" t="s">
        <v>70</v>
      </c>
      <c r="M29" s="261"/>
      <c r="N29" s="162">
        <f>N27</f>
        <v>3594</v>
      </c>
      <c r="O29" s="163">
        <v>28</v>
      </c>
      <c r="P29" s="151">
        <f>P27</f>
        <v>30334</v>
      </c>
      <c r="Q29" s="163">
        <v>224</v>
      </c>
      <c r="R29" s="164">
        <f>R9</f>
        <v>65089</v>
      </c>
      <c r="S29" s="165">
        <v>483</v>
      </c>
      <c r="T29" s="108"/>
      <c r="U29" s="107"/>
    </row>
    <row r="30" spans="2:21" ht="13.8" customHeight="1">
      <c r="B30" s="194" t="s">
        <v>72</v>
      </c>
      <c r="C30" s="195"/>
      <c r="D30" s="198" t="s">
        <v>128</v>
      </c>
      <c r="E30" s="198" t="s">
        <v>129</v>
      </c>
      <c r="F30" s="198" t="s">
        <v>130</v>
      </c>
      <c r="G30" s="215" t="s">
        <v>73</v>
      </c>
      <c r="H30" s="200" t="s">
        <v>93</v>
      </c>
      <c r="I30" s="200" t="s">
        <v>127</v>
      </c>
      <c r="K30" s="31"/>
      <c r="L30" s="258" t="s">
        <v>71</v>
      </c>
      <c r="M30" s="259"/>
      <c r="N30" s="162"/>
      <c r="O30" s="163"/>
      <c r="P30" s="151"/>
      <c r="Q30" s="163"/>
      <c r="R30" s="164"/>
      <c r="S30" s="165"/>
      <c r="T30" s="108"/>
      <c r="U30" s="107"/>
    </row>
    <row r="31" spans="2:21" ht="15.75" customHeight="1">
      <c r="B31" s="196"/>
      <c r="C31" s="197"/>
      <c r="D31" s="199"/>
      <c r="E31" s="199"/>
      <c r="F31" s="199"/>
      <c r="G31" s="216"/>
      <c r="H31" s="201"/>
      <c r="I31" s="201"/>
      <c r="L31" s="252" t="s">
        <v>59</v>
      </c>
      <c r="M31" s="253"/>
      <c r="N31" s="172">
        <f>N29</f>
        <v>3594</v>
      </c>
      <c r="O31" s="173">
        <v>160</v>
      </c>
      <c r="P31" s="174">
        <f>P29</f>
        <v>30334</v>
      </c>
      <c r="Q31" s="173">
        <v>1280</v>
      </c>
      <c r="R31" s="175">
        <f>R9</f>
        <v>65089</v>
      </c>
      <c r="S31" s="159">
        <v>2680</v>
      </c>
      <c r="T31" s="108"/>
      <c r="U31" s="107"/>
    </row>
    <row r="32" spans="2:21" ht="13.8">
      <c r="B32" s="202" t="s">
        <v>91</v>
      </c>
      <c r="C32" s="203"/>
      <c r="D32" s="140">
        <f>(94*90%/2)+((E5/12*3)*90%/2)</f>
        <v>1617.3</v>
      </c>
      <c r="E32" s="141">
        <f>(234*90%/2)+(G5*90%/2)</f>
        <v>13650.3</v>
      </c>
      <c r="F32" s="141">
        <f>(374*90%/2)+(I5*90%/2)</f>
        <v>29290.05</v>
      </c>
      <c r="G32" s="142">
        <f>D26+F11*F26</f>
        <v>4250.2584999999999</v>
      </c>
      <c r="H32" s="143">
        <f>D26+H11*G26</f>
        <v>18794.172999999999</v>
      </c>
      <c r="I32" s="143">
        <f>D26+J11*G26</f>
        <v>38452.273000000001</v>
      </c>
      <c r="J32" s="44"/>
      <c r="L32" s="109"/>
      <c r="M32" s="109"/>
      <c r="N32" s="110" t="s">
        <v>2</v>
      </c>
      <c r="O32" s="121">
        <f>SUM(O5:O31)</f>
        <v>803.31999999999994</v>
      </c>
      <c r="P32" s="111"/>
      <c r="Q32" s="121">
        <f>SUM(Q5:Q31)</f>
        <v>6398.5599999999995</v>
      </c>
      <c r="R32" s="113"/>
      <c r="S32" s="121">
        <f>SUM(S5:S31)</f>
        <v>13420.61</v>
      </c>
      <c r="T32" s="108"/>
      <c r="U32" s="107"/>
    </row>
    <row r="33" spans="2:20" ht="13.8">
      <c r="B33" s="204" t="s">
        <v>92</v>
      </c>
      <c r="C33" s="205"/>
      <c r="D33" s="144">
        <f>(94*90%/2)+((E5/12*3)*90%/2)</f>
        <v>1617.3</v>
      </c>
      <c r="E33" s="145">
        <f>(234*90%/2)+(G5*90%/2)</f>
        <v>13650.3</v>
      </c>
      <c r="F33" s="145">
        <f>(374*90%/2)+(I5*90%/2)</f>
        <v>29290.05</v>
      </c>
      <c r="G33" s="146">
        <f>E27+F11*F27</f>
        <v>2100.12925</v>
      </c>
      <c r="H33" s="146">
        <f>H11*G27</f>
        <v>18694.172999999999</v>
      </c>
      <c r="I33" s="146">
        <f>J11*G27</f>
        <v>38352.273000000001</v>
      </c>
      <c r="J33" s="44"/>
      <c r="T33" s="31"/>
    </row>
    <row r="34" spans="2:20" ht="13.8">
      <c r="B34" s="99"/>
      <c r="C34" s="99"/>
      <c r="D34" s="103"/>
      <c r="E34" s="44"/>
      <c r="F34" s="91" t="s">
        <v>0</v>
      </c>
      <c r="G34" s="92">
        <f>SUM(G32:G33)</f>
        <v>6350.3877499999999</v>
      </c>
      <c r="H34" s="92">
        <f t="shared" ref="H34:I34" si="0">SUM(H32:H33)</f>
        <v>37488.345999999998</v>
      </c>
      <c r="I34" s="92">
        <f t="shared" si="0"/>
        <v>76804.546000000002</v>
      </c>
      <c r="J34" s="44"/>
      <c r="T34" s="31"/>
    </row>
    <row r="35" spans="2:20" ht="13.8">
      <c r="J35" s="44"/>
      <c r="T35" s="31"/>
    </row>
    <row r="36" spans="2:20" ht="13.8">
      <c r="B36" s="188" t="s">
        <v>120</v>
      </c>
      <c r="C36" s="189"/>
      <c r="D36" s="192" t="s">
        <v>136</v>
      </c>
      <c r="E36" s="193"/>
      <c r="F36" s="193"/>
      <c r="G36" s="193"/>
      <c r="H36" s="193"/>
      <c r="I36" s="193"/>
      <c r="J36" s="193"/>
      <c r="K36" s="193"/>
      <c r="L36" s="193"/>
      <c r="T36" s="31"/>
    </row>
    <row r="37" spans="2:20" ht="13.8">
      <c r="B37" s="190"/>
      <c r="C37" s="191"/>
      <c r="D37" s="192" t="s">
        <v>135</v>
      </c>
      <c r="E37" s="193"/>
      <c r="F37" s="193"/>
      <c r="G37" s="193"/>
      <c r="H37" s="193"/>
      <c r="I37" s="98"/>
      <c r="J37" s="98"/>
      <c r="K37" s="98"/>
    </row>
  </sheetData>
  <mergeCells count="93">
    <mergeCell ref="E5:E6"/>
    <mergeCell ref="G5:G6"/>
    <mergeCell ref="S3:S4"/>
    <mergeCell ref="L2:S2"/>
    <mergeCell ref="C3:C4"/>
    <mergeCell ref="D3:D4"/>
    <mergeCell ref="F3:F4"/>
    <mergeCell ref="G3:G4"/>
    <mergeCell ref="H3:H4"/>
    <mergeCell ref="L3:M4"/>
    <mergeCell ref="P3:P4"/>
    <mergeCell ref="O3:O4"/>
    <mergeCell ref="N3:N4"/>
    <mergeCell ref="Q3:Q4"/>
    <mergeCell ref="E3:E4"/>
    <mergeCell ref="R3:R4"/>
    <mergeCell ref="L12:M12"/>
    <mergeCell ref="L13:M13"/>
    <mergeCell ref="L20:M20"/>
    <mergeCell ref="L21:M21"/>
    <mergeCell ref="L24:M24"/>
    <mergeCell ref="L14:M14"/>
    <mergeCell ref="L15:M15"/>
    <mergeCell ref="L16:M16"/>
    <mergeCell ref="L17:M17"/>
    <mergeCell ref="L19:M19"/>
    <mergeCell ref="L18:M18"/>
    <mergeCell ref="L22:M22"/>
    <mergeCell ref="L23:M23"/>
    <mergeCell ref="L30:M30"/>
    <mergeCell ref="L26:M26"/>
    <mergeCell ref="L25:M25"/>
    <mergeCell ref="L28:M28"/>
    <mergeCell ref="L27:M27"/>
    <mergeCell ref="L29:M29"/>
    <mergeCell ref="L8:M8"/>
    <mergeCell ref="L9:M9"/>
    <mergeCell ref="L11:M11"/>
    <mergeCell ref="L5:M5"/>
    <mergeCell ref="L6:M6"/>
    <mergeCell ref="L7:M7"/>
    <mergeCell ref="L10:M10"/>
    <mergeCell ref="B5:B6"/>
    <mergeCell ref="B7:B10"/>
    <mergeCell ref="C2:J2"/>
    <mergeCell ref="I3:I4"/>
    <mergeCell ref="C7:C8"/>
    <mergeCell ref="D7:D8"/>
    <mergeCell ref="C9:C10"/>
    <mergeCell ref="D9:D10"/>
    <mergeCell ref="E9:E10"/>
    <mergeCell ref="F9:F10"/>
    <mergeCell ref="G9:G10"/>
    <mergeCell ref="H9:H10"/>
    <mergeCell ref="H7:H8"/>
    <mergeCell ref="G7:G8"/>
    <mergeCell ref="F7:F8"/>
    <mergeCell ref="E7:E8"/>
    <mergeCell ref="I7:I8"/>
    <mergeCell ref="I9:I10"/>
    <mergeCell ref="J3:J4"/>
    <mergeCell ref="J9:J10"/>
    <mergeCell ref="J7:J8"/>
    <mergeCell ref="I5:I6"/>
    <mergeCell ref="B13:B16"/>
    <mergeCell ref="C13:G13"/>
    <mergeCell ref="C14:I14"/>
    <mergeCell ref="C15:I15"/>
    <mergeCell ref="C16:H16"/>
    <mergeCell ref="B26:C26"/>
    <mergeCell ref="B27:C27"/>
    <mergeCell ref="D24:D25"/>
    <mergeCell ref="E24:E25"/>
    <mergeCell ref="F24:F25"/>
    <mergeCell ref="B19:B20"/>
    <mergeCell ref="C19:G19"/>
    <mergeCell ref="C20:E20"/>
    <mergeCell ref="B23:I23"/>
    <mergeCell ref="B24:C25"/>
    <mergeCell ref="G24:G25"/>
    <mergeCell ref="B36:C37"/>
    <mergeCell ref="D37:H37"/>
    <mergeCell ref="D36:L36"/>
    <mergeCell ref="B30:C31"/>
    <mergeCell ref="D30:D31"/>
    <mergeCell ref="I30:I31"/>
    <mergeCell ref="B32:C32"/>
    <mergeCell ref="B33:C33"/>
    <mergeCell ref="G30:G31"/>
    <mergeCell ref="H30:H31"/>
    <mergeCell ref="F30:F31"/>
    <mergeCell ref="E30:E31"/>
    <mergeCell ref="L31:M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K54"/>
  <sheetViews>
    <sheetView showGridLines="0" zoomScale="80" zoomScaleNormal="80" workbookViewId="0">
      <selection activeCell="F10" sqref="F10"/>
    </sheetView>
  </sheetViews>
  <sheetFormatPr baseColWidth="10" defaultColWidth="12.6640625" defaultRowHeight="15.75" customHeight="1"/>
  <cols>
    <col min="1" max="1" width="3.44140625" customWidth="1"/>
    <col min="2" max="2" width="21.21875" customWidth="1"/>
    <col min="3" max="3" width="12.88671875" bestFit="1" customWidth="1"/>
    <col min="4" max="4" width="13.33203125" bestFit="1" customWidth="1"/>
    <col min="5" max="5" width="16.6640625" bestFit="1" customWidth="1"/>
    <col min="6" max="6" width="12.77734375" bestFit="1" customWidth="1"/>
    <col min="7" max="7" width="18.6640625" customWidth="1"/>
    <col min="8" max="8" width="18.77734375" bestFit="1" customWidth="1"/>
    <col min="9" max="9" width="13.33203125" bestFit="1" customWidth="1"/>
  </cols>
  <sheetData>
    <row r="2" spans="2:11" ht="13.8">
      <c r="B2" s="294" t="s">
        <v>81</v>
      </c>
      <c r="C2" s="296" t="s">
        <v>1</v>
      </c>
      <c r="D2" s="298" t="s">
        <v>11</v>
      </c>
      <c r="E2" s="299"/>
      <c r="F2" s="300"/>
      <c r="H2" s="292" t="s">
        <v>3</v>
      </c>
      <c r="I2" s="280"/>
    </row>
    <row r="3" spans="2:11" ht="13.8">
      <c r="B3" s="295"/>
      <c r="C3" s="297"/>
      <c r="D3" s="7">
        <v>2024</v>
      </c>
      <c r="E3" s="8">
        <v>2025</v>
      </c>
      <c r="F3" s="7">
        <v>2025</v>
      </c>
      <c r="H3" s="38" t="s">
        <v>82</v>
      </c>
      <c r="I3" s="41">
        <v>11000</v>
      </c>
    </row>
    <row r="4" spans="2:11" ht="13.8">
      <c r="B4" s="392" t="s">
        <v>39</v>
      </c>
      <c r="C4" s="393">
        <f>1319*3</f>
        <v>3957</v>
      </c>
      <c r="D4" s="394">
        <v>0</v>
      </c>
      <c r="E4" s="393">
        <f>C4/5</f>
        <v>791.4</v>
      </c>
      <c r="F4" s="395">
        <f>C4/5</f>
        <v>791.4</v>
      </c>
      <c r="H4" s="39" t="s">
        <v>85</v>
      </c>
      <c r="I4" s="9">
        <v>5</v>
      </c>
    </row>
    <row r="5" spans="2:11" ht="13.8">
      <c r="B5" s="396" t="s">
        <v>113</v>
      </c>
      <c r="C5" s="397">
        <f>SUM(C13:C16)</f>
        <v>16714.285714285717</v>
      </c>
      <c r="D5" s="398">
        <f>C5/8</f>
        <v>2089.2857142857147</v>
      </c>
      <c r="E5" s="398">
        <f>C5/8</f>
        <v>2089.2857142857147</v>
      </c>
      <c r="F5" s="399">
        <f>C5/8</f>
        <v>2089.2857142857147</v>
      </c>
      <c r="H5" s="39" t="s">
        <v>83</v>
      </c>
      <c r="I5" s="68">
        <v>5.7799999999999997E-2</v>
      </c>
    </row>
    <row r="6" spans="2:11" ht="13.8">
      <c r="B6" s="400" t="s">
        <v>36</v>
      </c>
      <c r="C6" s="401">
        <v>3427.5</v>
      </c>
      <c r="D6" s="401">
        <f>C6/20</f>
        <v>171.375</v>
      </c>
      <c r="E6" s="401">
        <f>C6/20</f>
        <v>171.375</v>
      </c>
      <c r="F6" s="402">
        <f>C6/20</f>
        <v>171.375</v>
      </c>
      <c r="G6" s="30"/>
      <c r="H6" s="32" t="s">
        <v>84</v>
      </c>
      <c r="I6" s="42">
        <f>I5*I3</f>
        <v>635.79999999999995</v>
      </c>
      <c r="J6" s="63"/>
      <c r="K6" s="63"/>
    </row>
    <row r="7" spans="2:11" ht="13.8">
      <c r="B7" s="61" t="s">
        <v>2</v>
      </c>
      <c r="C7" s="62">
        <f>SUM(C4:C6)</f>
        <v>24098.785714285717</v>
      </c>
      <c r="D7" s="62">
        <f t="shared" ref="D7:F7" si="0">SUM(D4:D6)</f>
        <v>2260.6607142857147</v>
      </c>
      <c r="E7" s="62">
        <f t="shared" si="0"/>
        <v>3052.0607142857148</v>
      </c>
      <c r="F7" s="62">
        <f t="shared" si="0"/>
        <v>3052.0607142857148</v>
      </c>
    </row>
    <row r="8" spans="2:11" ht="13.8">
      <c r="F8" s="30"/>
      <c r="H8" s="279" t="s">
        <v>86</v>
      </c>
      <c r="I8" s="280"/>
    </row>
    <row r="9" spans="2:11" ht="15.75" customHeight="1">
      <c r="H9" s="32" t="s">
        <v>87</v>
      </c>
      <c r="I9" s="42">
        <v>6000</v>
      </c>
    </row>
    <row r="10" spans="2:11" ht="13.2"/>
    <row r="11" spans="2:11" ht="13.8">
      <c r="H11" s="279" t="s">
        <v>32</v>
      </c>
      <c r="I11" s="280"/>
    </row>
    <row r="12" spans="2:11" ht="13.8">
      <c r="B12" s="40" t="s">
        <v>99</v>
      </c>
      <c r="C12" s="11"/>
      <c r="H12" s="32" t="s">
        <v>87</v>
      </c>
      <c r="I12" s="42">
        <v>12000</v>
      </c>
    </row>
    <row r="13" spans="2:11" ht="13.2">
      <c r="B13" s="301" t="s">
        <v>100</v>
      </c>
      <c r="C13" s="303">
        <f>F29*2*(3/2)+F27*3</f>
        <v>8357.1428571428587</v>
      </c>
      <c r="D13" s="63"/>
      <c r="E13" s="67"/>
    </row>
    <row r="14" spans="2:11" ht="13.2">
      <c r="B14" s="302"/>
      <c r="C14" s="304"/>
      <c r="D14" s="63"/>
      <c r="E14" s="30"/>
    </row>
    <row r="15" spans="2:11" ht="13.2" customHeight="1">
      <c r="B15" s="305" t="s">
        <v>101</v>
      </c>
      <c r="C15" s="304">
        <f>F29*2*(3/2)+F27*3</f>
        <v>8357.1428571428587</v>
      </c>
      <c r="D15" s="63"/>
      <c r="E15" s="30"/>
    </row>
    <row r="16" spans="2:11" ht="13.2" customHeight="1">
      <c r="B16" s="305"/>
      <c r="C16" s="304"/>
      <c r="D16" s="63"/>
      <c r="E16" s="30"/>
    </row>
    <row r="17" spans="2:9" ht="13.8">
      <c r="B17" s="50" t="s">
        <v>4</v>
      </c>
      <c r="C17" s="64">
        <f>'Estado Financiero'!D12/2</f>
        <v>1080</v>
      </c>
      <c r="D17" s="63"/>
    </row>
    <row r="18" spans="2:9" ht="13.8">
      <c r="B18" s="60" t="s">
        <v>36</v>
      </c>
      <c r="C18" s="77">
        <v>3427.5</v>
      </c>
      <c r="D18" s="63"/>
    </row>
    <row r="19" spans="2:9" ht="13.8">
      <c r="B19" s="60" t="s">
        <v>144</v>
      </c>
      <c r="C19" s="78">
        <f>Proyecciones!G34+Proyecciones!O32</f>
        <v>7153.7077499999996</v>
      </c>
      <c r="D19" s="30"/>
    </row>
    <row r="20" spans="2:9" ht="13.8">
      <c r="B20" s="51" t="s">
        <v>2</v>
      </c>
      <c r="C20" s="65">
        <f>SUM(C13:C19)</f>
        <v>28375.493464285719</v>
      </c>
    </row>
    <row r="21" spans="2:9" ht="13.2"/>
    <row r="22" spans="2:9" ht="13.2">
      <c r="B22" s="278" t="s">
        <v>143</v>
      </c>
      <c r="C22" s="278"/>
      <c r="D22" s="278"/>
      <c r="E22" s="278"/>
      <c r="F22" s="278"/>
      <c r="G22" s="278"/>
      <c r="H22" s="278"/>
    </row>
    <row r="23" spans="2:9" ht="13.2"/>
    <row r="24" spans="2:9" ht="13.8">
      <c r="B24" s="279" t="s">
        <v>107</v>
      </c>
      <c r="C24" s="293"/>
      <c r="E24" s="281" t="s">
        <v>102</v>
      </c>
      <c r="F24" s="282"/>
      <c r="G24" s="282"/>
      <c r="H24" s="282"/>
      <c r="I24" s="283"/>
    </row>
    <row r="25" spans="2:9" ht="13.8">
      <c r="B25" s="288" t="s">
        <v>115</v>
      </c>
      <c r="C25" s="289"/>
      <c r="D25" s="1"/>
      <c r="E25" s="54" t="s">
        <v>110</v>
      </c>
      <c r="F25" s="59" t="s">
        <v>116</v>
      </c>
      <c r="G25" s="46">
        <v>2024</v>
      </c>
      <c r="H25" s="55">
        <v>2025</v>
      </c>
      <c r="I25" s="56">
        <v>2026</v>
      </c>
    </row>
    <row r="26" spans="2:9" ht="13.2" customHeight="1">
      <c r="B26" s="290"/>
      <c r="C26" s="291"/>
      <c r="D26" s="1"/>
      <c r="E26" s="176" t="s">
        <v>111</v>
      </c>
      <c r="F26" s="177">
        <f>C36/14</f>
        <v>1571.4285714285713</v>
      </c>
      <c r="G26" s="177">
        <f>F26*1</f>
        <v>1571.4285714285713</v>
      </c>
      <c r="H26" s="178">
        <f>(G26*10%)*12</f>
        <v>1885.7142857142858</v>
      </c>
      <c r="I26" s="179">
        <f>H26</f>
        <v>1885.7142857142858</v>
      </c>
    </row>
    <row r="27" spans="2:9" ht="13.8">
      <c r="B27" s="52" t="s">
        <v>108</v>
      </c>
      <c r="C27" s="53">
        <v>20000</v>
      </c>
      <c r="D27" s="1"/>
      <c r="E27" s="180" t="s">
        <v>112</v>
      </c>
      <c r="F27" s="181">
        <f>C33/14</f>
        <v>1357.1428571428571</v>
      </c>
      <c r="G27" s="181">
        <f>F27*3</f>
        <v>4071.4285714285716</v>
      </c>
      <c r="H27" s="182">
        <f>(G27*10%)*12</f>
        <v>4885.7142857142862</v>
      </c>
      <c r="I27" s="183">
        <f>H27</f>
        <v>4885.7142857142862</v>
      </c>
    </row>
    <row r="28" spans="2:9" ht="13.8">
      <c r="B28" s="52" t="s">
        <v>109</v>
      </c>
      <c r="C28" s="53">
        <v>40000</v>
      </c>
      <c r="D28" s="1"/>
      <c r="E28" s="180" t="s">
        <v>105</v>
      </c>
      <c r="F28" s="181">
        <f>C30/14</f>
        <v>1285.7142857142858</v>
      </c>
      <c r="G28" s="181">
        <f>F28*2</f>
        <v>2571.4285714285716</v>
      </c>
      <c r="H28" s="182">
        <f>(F28*20%)*12</f>
        <v>3085.7142857142862</v>
      </c>
      <c r="I28" s="183">
        <f>H28</f>
        <v>3085.7142857142862</v>
      </c>
    </row>
    <row r="29" spans="2:9" ht="13.8">
      <c r="B29" s="286" t="s">
        <v>105</v>
      </c>
      <c r="C29" s="287"/>
      <c r="D29" s="1"/>
      <c r="E29" s="184" t="s">
        <v>114</v>
      </c>
      <c r="F29" s="185">
        <f>C27/14</f>
        <v>1428.5714285714287</v>
      </c>
      <c r="G29" s="185">
        <f>F29*3</f>
        <v>4285.7142857142862</v>
      </c>
      <c r="H29" s="186">
        <f>(G29*10%)*12</f>
        <v>5142.857142857144</v>
      </c>
      <c r="I29" s="187">
        <f>H29</f>
        <v>5142.857142857144</v>
      </c>
    </row>
    <row r="30" spans="2:9" ht="13.8">
      <c r="B30" s="52" t="s">
        <v>108</v>
      </c>
      <c r="C30" s="53">
        <v>18000</v>
      </c>
      <c r="D30" s="1"/>
      <c r="E30" s="284" t="s">
        <v>103</v>
      </c>
      <c r="F30" s="285"/>
      <c r="G30" s="118">
        <f>SUM(G26:G29)</f>
        <v>12500</v>
      </c>
      <c r="H30" s="118">
        <f t="shared" ref="H30" si="1">SUM(H26:H29)</f>
        <v>15000.000000000004</v>
      </c>
      <c r="I30" s="117">
        <f>SUM(I26:I29)</f>
        <v>15000.000000000004</v>
      </c>
    </row>
    <row r="31" spans="2:9" ht="13.8">
      <c r="B31" s="52" t="s">
        <v>109</v>
      </c>
      <c r="C31" s="53">
        <v>30000</v>
      </c>
      <c r="D31" s="1"/>
      <c r="E31" s="1"/>
    </row>
    <row r="32" spans="2:9" ht="13.8">
      <c r="B32" s="286" t="s">
        <v>106</v>
      </c>
      <c r="C32" s="287"/>
      <c r="D32" s="1"/>
      <c r="E32" s="1"/>
    </row>
    <row r="33" spans="2:10" ht="15.75" customHeight="1">
      <c r="B33" s="52" t="s">
        <v>108</v>
      </c>
      <c r="C33" s="53">
        <v>19000</v>
      </c>
      <c r="D33" s="1"/>
      <c r="E33" s="1"/>
    </row>
    <row r="34" spans="2:10" ht="15.75" customHeight="1">
      <c r="B34" s="52" t="s">
        <v>109</v>
      </c>
      <c r="C34" s="53">
        <v>35000</v>
      </c>
      <c r="D34" s="1"/>
      <c r="E34" s="1"/>
    </row>
    <row r="35" spans="2:10" ht="15.75" customHeight="1">
      <c r="B35" s="286" t="s">
        <v>104</v>
      </c>
      <c r="C35" s="287"/>
      <c r="D35" s="1"/>
      <c r="E35" s="1"/>
    </row>
    <row r="36" spans="2:10" ht="13.8">
      <c r="B36" s="52" t="s">
        <v>108</v>
      </c>
      <c r="C36" s="53">
        <v>22000</v>
      </c>
      <c r="D36" s="1"/>
      <c r="E36" s="1"/>
    </row>
    <row r="37" spans="2:10" ht="13.8">
      <c r="B37" s="57" t="s">
        <v>109</v>
      </c>
      <c r="C37" s="58">
        <v>35000</v>
      </c>
      <c r="D37" s="1"/>
      <c r="E37" s="1"/>
    </row>
    <row r="38" spans="2:10" ht="13.2">
      <c r="B38" s="1"/>
      <c r="C38" s="1"/>
      <c r="D38" s="1"/>
      <c r="E38" s="1"/>
    </row>
    <row r="39" spans="2:10" ht="13.2">
      <c r="H39" s="12"/>
      <c r="J39" s="13"/>
    </row>
    <row r="40" spans="2:10" ht="13.2"/>
    <row r="41" spans="2:10" ht="13.2"/>
    <row r="42" spans="2:10" ht="13.2">
      <c r="H42" s="2"/>
      <c r="I42" s="2"/>
    </row>
    <row r="43" spans="2:10" ht="13.2">
      <c r="H43" s="2"/>
      <c r="I43" s="2"/>
    </row>
    <row r="44" spans="2:10" ht="13.2">
      <c r="H44" s="2"/>
      <c r="I44" s="2"/>
    </row>
    <row r="45" spans="2:10" ht="13.2"/>
    <row r="46" spans="2:10" ht="13.2">
      <c r="F46" s="1"/>
    </row>
    <row r="47" spans="2:10" ht="13.2">
      <c r="F47" s="1"/>
    </row>
    <row r="48" spans="2:10" ht="13.2">
      <c r="F48" s="1"/>
    </row>
    <row r="49" spans="6:6" ht="13.2">
      <c r="F49" s="1"/>
    </row>
    <row r="50" spans="6:6" ht="13.2">
      <c r="F50" s="1"/>
    </row>
    <row r="51" spans="6:6" ht="13.2">
      <c r="F51" s="1"/>
    </row>
    <row r="52" spans="6:6" ht="13.2">
      <c r="F52" s="1"/>
    </row>
    <row r="53" spans="6:6" ht="13.2">
      <c r="F53" s="1"/>
    </row>
    <row r="54" spans="6:6" ht="13.2">
      <c r="F54" s="1"/>
    </row>
  </sheetData>
  <mergeCells count="18">
    <mergeCell ref="B35:C35"/>
    <mergeCell ref="B25:C26"/>
    <mergeCell ref="H8:I8"/>
    <mergeCell ref="H2:I2"/>
    <mergeCell ref="B24:C24"/>
    <mergeCell ref="B29:C29"/>
    <mergeCell ref="B2:B3"/>
    <mergeCell ref="C2:C3"/>
    <mergeCell ref="D2:F2"/>
    <mergeCell ref="B13:B14"/>
    <mergeCell ref="C13:C14"/>
    <mergeCell ref="B15:B16"/>
    <mergeCell ref="C15:C16"/>
    <mergeCell ref="B22:H22"/>
    <mergeCell ref="H11:I11"/>
    <mergeCell ref="E24:I24"/>
    <mergeCell ref="E30:F30"/>
    <mergeCell ref="B32:C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69"/>
  <sheetViews>
    <sheetView showGridLines="0" tabSelected="1" zoomScale="80" zoomScaleNormal="80" workbookViewId="0">
      <selection activeCell="M31" sqref="M31"/>
    </sheetView>
  </sheetViews>
  <sheetFormatPr baseColWidth="10" defaultColWidth="12.6640625" defaultRowHeight="15.75" customHeight="1"/>
  <cols>
    <col min="1" max="1" width="4.33203125" customWidth="1"/>
    <col min="3" max="3" width="14.109375" customWidth="1"/>
    <col min="4" max="4" width="13.109375" bestFit="1" customWidth="1"/>
    <col min="9" max="9" width="15" customWidth="1"/>
    <col min="10" max="10" width="15.5546875" customWidth="1"/>
    <col min="11" max="12" width="14.44140625" customWidth="1"/>
    <col min="15" max="16" width="14.44140625" customWidth="1"/>
    <col min="17" max="17" width="17.88671875" customWidth="1"/>
  </cols>
  <sheetData>
    <row r="1" spans="1:18" ht="13.8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3.8">
      <c r="A2" s="14"/>
      <c r="B2" s="323" t="s">
        <v>77</v>
      </c>
      <c r="C2" s="315"/>
      <c r="D2" s="315"/>
      <c r="E2" s="315"/>
      <c r="F2" s="280"/>
      <c r="G2" s="3"/>
      <c r="H2" s="324" t="s">
        <v>16</v>
      </c>
      <c r="I2" s="315"/>
      <c r="J2" s="315"/>
      <c r="K2" s="315"/>
      <c r="L2" s="315"/>
      <c r="M2" s="315"/>
      <c r="N2" s="315"/>
      <c r="O2" s="315"/>
      <c r="P2" s="315"/>
      <c r="Q2" s="280"/>
    </row>
    <row r="3" spans="1:18" ht="13.8">
      <c r="A3" s="14"/>
      <c r="B3" s="346" t="s">
        <v>47</v>
      </c>
      <c r="C3" s="300"/>
      <c r="D3" s="325" t="s">
        <v>12</v>
      </c>
      <c r="E3" s="315"/>
      <c r="F3" s="280"/>
      <c r="G3" s="3"/>
      <c r="H3" s="326" t="s">
        <v>15</v>
      </c>
      <c r="I3" s="315"/>
      <c r="J3" s="315"/>
      <c r="K3" s="315"/>
      <c r="L3" s="280"/>
      <c r="M3" s="327" t="s">
        <v>17</v>
      </c>
      <c r="N3" s="328"/>
      <c r="O3" s="328"/>
      <c r="P3" s="328"/>
      <c r="Q3" s="329"/>
    </row>
    <row r="4" spans="1:18" ht="15.75" customHeight="1">
      <c r="A4" s="14"/>
      <c r="B4" s="347"/>
      <c r="C4" s="348"/>
      <c r="D4" s="126">
        <v>2024</v>
      </c>
      <c r="E4" s="4">
        <v>2025</v>
      </c>
      <c r="F4" s="6">
        <v>2026</v>
      </c>
      <c r="G4" s="3"/>
      <c r="H4" s="333" t="s">
        <v>12</v>
      </c>
      <c r="I4" s="280"/>
      <c r="J4" s="15">
        <v>2024</v>
      </c>
      <c r="K4" s="15">
        <v>2025</v>
      </c>
      <c r="L4" s="16">
        <v>2026</v>
      </c>
      <c r="M4" s="334" t="s">
        <v>12</v>
      </c>
      <c r="N4" s="329"/>
      <c r="O4" s="83">
        <v>2024</v>
      </c>
      <c r="P4" s="83">
        <v>2025</v>
      </c>
      <c r="Q4" s="84">
        <v>2026</v>
      </c>
    </row>
    <row r="5" spans="1:18" ht="13.8">
      <c r="A5" s="14"/>
      <c r="B5" s="349" t="s">
        <v>30</v>
      </c>
      <c r="C5" s="300"/>
      <c r="D5" s="33">
        <f>Proyecciones!F11</f>
        <v>13834.195</v>
      </c>
      <c r="E5" s="33">
        <f>Proyecciones!H11</f>
        <v>124627.82</v>
      </c>
      <c r="F5" s="33">
        <f>Proyecciones!J11</f>
        <v>255681.82</v>
      </c>
      <c r="H5" s="335" t="s">
        <v>14</v>
      </c>
      <c r="I5" s="315"/>
      <c r="J5" s="315"/>
      <c r="K5" s="315"/>
      <c r="L5" s="280"/>
      <c r="M5" s="330" t="s">
        <v>18</v>
      </c>
      <c r="N5" s="328"/>
      <c r="O5" s="328"/>
      <c r="P5" s="328"/>
      <c r="Q5" s="329"/>
    </row>
    <row r="6" spans="1:18" ht="13.8">
      <c r="A6" s="14"/>
      <c r="B6" s="352" t="s">
        <v>37</v>
      </c>
      <c r="C6" s="353"/>
      <c r="D6" s="356">
        <f>Proyecciones!G34+Proyecciones!O32</f>
        <v>7153.7077499999996</v>
      </c>
      <c r="E6" s="356">
        <f>Proyecciones!H34+Proyecciones!Q32</f>
        <v>43886.905999999995</v>
      </c>
      <c r="F6" s="356">
        <f>Proyecciones!I34+Proyecciones!S32</f>
        <v>90225.156000000003</v>
      </c>
      <c r="H6" s="336" t="s">
        <v>10</v>
      </c>
      <c r="I6" s="337"/>
      <c r="J6" s="133">
        <f>D40</f>
        <v>-2097.0984642857184</v>
      </c>
      <c r="K6" s="133">
        <f t="shared" ref="K6:L6" si="0">E40</f>
        <v>34735.008901785724</v>
      </c>
      <c r="L6" s="133">
        <f t="shared" si="0"/>
        <v>125327.60958035714</v>
      </c>
      <c r="M6" s="85" t="s">
        <v>20</v>
      </c>
      <c r="N6" s="86"/>
      <c r="O6" s="123">
        <v>0</v>
      </c>
      <c r="P6" s="123">
        <v>0</v>
      </c>
      <c r="Q6" s="124">
        <v>0</v>
      </c>
    </row>
    <row r="7" spans="1:18" ht="13.8" customHeight="1">
      <c r="A7" s="14"/>
      <c r="B7" s="354"/>
      <c r="C7" s="355"/>
      <c r="D7" s="357"/>
      <c r="E7" s="357"/>
      <c r="F7" s="357"/>
      <c r="H7" s="358" t="s">
        <v>38</v>
      </c>
      <c r="I7" s="359"/>
      <c r="J7" s="338">
        <v>0</v>
      </c>
      <c r="K7" s="340">
        <v>0</v>
      </c>
      <c r="L7" s="342">
        <v>0</v>
      </c>
      <c r="M7" s="85" t="s">
        <v>19</v>
      </c>
      <c r="N7" s="86"/>
      <c r="O7" s="119">
        <f>D18</f>
        <v>-3303.9933660714287</v>
      </c>
      <c r="P7" s="119">
        <f t="shared" ref="P7:Q7" si="1">E18</f>
        <v>8608.2633214285761</v>
      </c>
      <c r="Q7" s="120">
        <f t="shared" si="1"/>
        <v>24037.200821428567</v>
      </c>
    </row>
    <row r="8" spans="1:18" ht="13.8" customHeight="1">
      <c r="A8" s="14"/>
      <c r="B8" s="308" t="s">
        <v>31</v>
      </c>
      <c r="C8" s="280"/>
      <c r="D8" s="70">
        <f>D5-D6</f>
        <v>6680.4872500000001</v>
      </c>
      <c r="E8" s="70">
        <f>E5-E6</f>
        <v>80740.914000000019</v>
      </c>
      <c r="F8" s="70">
        <f>F5-F6</f>
        <v>165456.66399999999</v>
      </c>
      <c r="H8" s="360"/>
      <c r="I8" s="361"/>
      <c r="J8" s="339"/>
      <c r="K8" s="341"/>
      <c r="L8" s="343"/>
      <c r="M8" s="330" t="s">
        <v>26</v>
      </c>
      <c r="N8" s="331"/>
      <c r="O8" s="331"/>
      <c r="P8" s="331"/>
      <c r="Q8" s="332"/>
    </row>
    <row r="9" spans="1:18" ht="15.75" customHeight="1">
      <c r="A9" s="14"/>
      <c r="B9" s="350" t="s">
        <v>33</v>
      </c>
      <c r="C9" s="351"/>
      <c r="D9" s="72">
        <f>SUM(D10:D12)</f>
        <v>17000</v>
      </c>
      <c r="E9" s="72">
        <f>SUM(E10:E12)</f>
        <v>42620</v>
      </c>
      <c r="F9" s="73">
        <f>SUM(F10:F12)</f>
        <v>65620</v>
      </c>
      <c r="H9" s="335" t="s">
        <v>13</v>
      </c>
      <c r="I9" s="344"/>
      <c r="J9" s="344"/>
      <c r="K9" s="344"/>
      <c r="L9" s="345"/>
      <c r="M9" s="85" t="s">
        <v>21</v>
      </c>
      <c r="N9" s="86"/>
      <c r="O9" s="87">
        <f>'IS Calculations'!I3</f>
        <v>11000</v>
      </c>
      <c r="P9" s="87">
        <f>'IS Calculations'!I3</f>
        <v>11000</v>
      </c>
      <c r="Q9" s="88">
        <f>'IS Calculations'!I3</f>
        <v>11000</v>
      </c>
    </row>
    <row r="10" spans="1:18" ht="15.75" customHeight="1">
      <c r="A10" s="14"/>
      <c r="B10" s="322" t="s">
        <v>142</v>
      </c>
      <c r="C10" s="307"/>
      <c r="D10" s="33">
        <f>'IS Calculations'!G30</f>
        <v>12500</v>
      </c>
      <c r="E10" s="33">
        <f>'IS Calculations'!H30</f>
        <v>15000.000000000004</v>
      </c>
      <c r="F10" s="33">
        <f>'IS Calculations'!I30</f>
        <v>15000.000000000004</v>
      </c>
      <c r="G10" s="18"/>
      <c r="H10" s="377" t="s">
        <v>39</v>
      </c>
      <c r="I10" s="378"/>
      <c r="J10" s="79">
        <v>0</v>
      </c>
      <c r="K10" s="79">
        <f>'IS Calculations'!C4</f>
        <v>3957</v>
      </c>
      <c r="L10" s="80">
        <f>K10</f>
        <v>3957</v>
      </c>
      <c r="M10" s="376" t="s">
        <v>24</v>
      </c>
      <c r="N10" s="331"/>
      <c r="O10" s="331"/>
      <c r="P10" s="331"/>
      <c r="Q10" s="332"/>
    </row>
    <row r="11" spans="1:18" ht="15.75" customHeight="1">
      <c r="A11" s="14"/>
      <c r="B11" s="312" t="s">
        <v>34</v>
      </c>
      <c r="C11" s="307"/>
      <c r="D11" s="33">
        <f>(600*3)+(600*3)*30%</f>
        <v>2340</v>
      </c>
      <c r="E11" s="33">
        <f>((600*9)+(600*9)*30%)+2000</f>
        <v>9020</v>
      </c>
      <c r="F11" s="33">
        <f>((600*9)+(600*9)*30%)+4000</f>
        <v>11020</v>
      </c>
      <c r="H11" s="192" t="s">
        <v>36</v>
      </c>
      <c r="I11" s="379"/>
      <c r="J11" s="79">
        <f>'IS Calculations'!C6</f>
        <v>3427.5</v>
      </c>
      <c r="K11" s="69">
        <f>J11</f>
        <v>3427.5</v>
      </c>
      <c r="L11" s="81">
        <f>K11</f>
        <v>3427.5</v>
      </c>
      <c r="M11" s="390" t="s">
        <v>32</v>
      </c>
      <c r="N11" s="391"/>
      <c r="O11" s="87">
        <f>'IS Calculations'!I12</f>
        <v>12000</v>
      </c>
      <c r="P11" s="87">
        <f>'IS Calculations'!I12</f>
        <v>12000</v>
      </c>
      <c r="Q11" s="88">
        <f>'IS Calculations'!I12</f>
        <v>12000</v>
      </c>
    </row>
    <row r="12" spans="1:18" ht="13.8">
      <c r="A12" s="14"/>
      <c r="B12" s="312" t="s">
        <v>35</v>
      </c>
      <c r="C12" s="307"/>
      <c r="D12" s="64">
        <f>100*(3600/2000)*12</f>
        <v>2160</v>
      </c>
      <c r="E12" s="33">
        <f>100*(31000/2000)*12</f>
        <v>18600</v>
      </c>
      <c r="F12" s="74">
        <f>100*(66000/2000)*12</f>
        <v>39600</v>
      </c>
      <c r="H12" s="374" t="s">
        <v>117</v>
      </c>
      <c r="I12" s="375"/>
      <c r="J12" s="79">
        <f>'IS Calculations'!C5</f>
        <v>16714.285714285717</v>
      </c>
      <c r="K12" s="79">
        <f>'IS Calculations'!C5</f>
        <v>16714.285714285717</v>
      </c>
      <c r="L12" s="79">
        <f>'IS Calculations'!C5</f>
        <v>16714.285714285717</v>
      </c>
      <c r="M12" s="380" t="s">
        <v>86</v>
      </c>
      <c r="N12" s="381"/>
      <c r="O12" s="69">
        <f>'IS Calculations'!I9</f>
        <v>6000</v>
      </c>
      <c r="P12" s="69">
        <f>'IS Calculations'!I9</f>
        <v>6000</v>
      </c>
      <c r="Q12" s="89">
        <f>'IS Calculations'!I9</f>
        <v>6000</v>
      </c>
    </row>
    <row r="13" spans="1:18" ht="15.75" customHeight="1">
      <c r="A13" s="14"/>
      <c r="B13" s="308" t="s">
        <v>5</v>
      </c>
      <c r="C13" s="280"/>
      <c r="D13" s="70">
        <f>D8-D9</f>
        <v>-10319.51275</v>
      </c>
      <c r="E13" s="70">
        <f>E8-E9</f>
        <v>38120.914000000019</v>
      </c>
      <c r="F13" s="71">
        <f>F8-F9</f>
        <v>99836.66399999999</v>
      </c>
      <c r="H13" s="364" t="s">
        <v>11</v>
      </c>
      <c r="I13" s="365"/>
      <c r="J13" s="82">
        <f>-'IS Calculations'!D7</f>
        <v>-2260.6607142857147</v>
      </c>
      <c r="K13" s="82">
        <f>-'IS Calculations'!E7+J13</f>
        <v>-5312.721428571429</v>
      </c>
      <c r="L13" s="82">
        <f>-'IS Calculations'!F7+K13</f>
        <v>-8364.7821428571442</v>
      </c>
      <c r="M13" s="362" t="s">
        <v>25</v>
      </c>
      <c r="N13" s="363"/>
      <c r="O13" s="119">
        <f>D19</f>
        <v>-9911.980098214286</v>
      </c>
      <c r="P13" s="127">
        <f>O13+E19</f>
        <v>15912.809866071444</v>
      </c>
      <c r="Q13" s="128">
        <f>P13+F19</f>
        <v>88024.412330357154</v>
      </c>
    </row>
    <row r="14" spans="1:18" ht="13.8">
      <c r="A14" s="14"/>
      <c r="B14" s="306" t="s">
        <v>11</v>
      </c>
      <c r="C14" s="307"/>
      <c r="D14" s="33">
        <f>'IS Calculations'!D7</f>
        <v>2260.6607142857147</v>
      </c>
      <c r="E14" s="33">
        <f>'IS Calculations'!E7</f>
        <v>3052.0607142857148</v>
      </c>
      <c r="F14" s="33">
        <f>'IS Calculations'!F7</f>
        <v>3052.0607142857148</v>
      </c>
      <c r="H14" s="366" t="s">
        <v>22</v>
      </c>
      <c r="I14" s="367"/>
      <c r="J14" s="370">
        <f>SUM(J6:J8)+ SUM(J10:J13)</f>
        <v>15784.026535714285</v>
      </c>
      <c r="K14" s="370">
        <f t="shared" ref="K14:L14" si="2">SUM(K6:K8)+ SUM(K10:K13)</f>
        <v>53521.073187500013</v>
      </c>
      <c r="L14" s="372">
        <f t="shared" si="2"/>
        <v>141061.61315178571</v>
      </c>
      <c r="M14" s="382" t="s">
        <v>23</v>
      </c>
      <c r="N14" s="383"/>
      <c r="O14" s="386">
        <f>SUM(O11:O13)+SUM(O6:O7)+O9</f>
        <v>15784.026535714285</v>
      </c>
      <c r="P14" s="386">
        <f t="shared" ref="P14:Q14" si="3">SUM(P11:P13)+SUM(P6:P7)+P9</f>
        <v>53521.07318750002</v>
      </c>
      <c r="Q14" s="388">
        <f t="shared" si="3"/>
        <v>141061.61315178571</v>
      </c>
    </row>
    <row r="15" spans="1:18" ht="15.75" customHeight="1">
      <c r="A15" s="14"/>
      <c r="B15" s="308" t="s">
        <v>6</v>
      </c>
      <c r="C15" s="280"/>
      <c r="D15" s="70">
        <f>D13-D14</f>
        <v>-12580.173464285715</v>
      </c>
      <c r="E15" s="70">
        <f>E13-E14</f>
        <v>35068.853285714307</v>
      </c>
      <c r="F15" s="71">
        <f>F13-F14</f>
        <v>96784.603285714271</v>
      </c>
      <c r="G15" s="30"/>
      <c r="H15" s="368"/>
      <c r="I15" s="369"/>
      <c r="J15" s="371"/>
      <c r="K15" s="371"/>
      <c r="L15" s="373"/>
      <c r="M15" s="384"/>
      <c r="N15" s="385"/>
      <c r="O15" s="387"/>
      <c r="P15" s="387"/>
      <c r="Q15" s="389"/>
    </row>
    <row r="16" spans="1:18" ht="13.8">
      <c r="A16" s="14"/>
      <c r="B16" s="306" t="s">
        <v>29</v>
      </c>
      <c r="C16" s="307"/>
      <c r="D16" s="75">
        <f>'IS Calculations'!I6</f>
        <v>635.79999999999995</v>
      </c>
      <c r="E16" s="75">
        <f>'IS Calculations'!I6</f>
        <v>635.79999999999995</v>
      </c>
      <c r="F16" s="75">
        <f>'IS Calculations'!I6</f>
        <v>635.79999999999995</v>
      </c>
      <c r="I16" s="30"/>
    </row>
    <row r="17" spans="1:12" ht="13.8">
      <c r="A17" s="14"/>
      <c r="B17" s="308" t="s">
        <v>7</v>
      </c>
      <c r="C17" s="280"/>
      <c r="D17" s="70">
        <f>D15-D16</f>
        <v>-13215.973464285715</v>
      </c>
      <c r="E17" s="70">
        <f>E15-E16</f>
        <v>34433.053285714304</v>
      </c>
      <c r="F17" s="71">
        <f>F15-F16</f>
        <v>96148.803285714268</v>
      </c>
    </row>
    <row r="18" spans="1:12" ht="13.8">
      <c r="A18" s="14"/>
      <c r="B18" s="306" t="s">
        <v>27</v>
      </c>
      <c r="C18" s="307"/>
      <c r="D18" s="33">
        <f>D17*0.25</f>
        <v>-3303.9933660714287</v>
      </c>
      <c r="E18" s="33">
        <f>E17*0.25</f>
        <v>8608.2633214285761</v>
      </c>
      <c r="F18" s="33">
        <f>F17*0.25</f>
        <v>24037.200821428567</v>
      </c>
    </row>
    <row r="19" spans="1:12" ht="13.8">
      <c r="A19" s="14"/>
      <c r="B19" s="423" t="s">
        <v>151</v>
      </c>
      <c r="C19" s="280"/>
      <c r="D19" s="34">
        <f>D17-D18</f>
        <v>-9911.980098214286</v>
      </c>
      <c r="E19" s="34">
        <f>E17-E18</f>
        <v>25824.78996428573</v>
      </c>
      <c r="F19" s="76">
        <f>F17-F18</f>
        <v>72111.602464285708</v>
      </c>
      <c r="H19" s="403" t="s">
        <v>150</v>
      </c>
      <c r="I19" s="404"/>
      <c r="J19" s="404"/>
      <c r="K19" s="404"/>
      <c r="L19" s="405"/>
    </row>
    <row r="20" spans="1:12" ht="13.8">
      <c r="A20" s="14"/>
      <c r="H20" s="406"/>
      <c r="I20" s="407"/>
      <c r="J20" s="407"/>
      <c r="K20" s="407"/>
      <c r="L20" s="408"/>
    </row>
    <row r="21" spans="1:12" ht="13.8">
      <c r="A21" s="14"/>
      <c r="H21" s="409" t="s">
        <v>12</v>
      </c>
      <c r="I21" s="410"/>
      <c r="J21" s="411">
        <v>2024</v>
      </c>
      <c r="K21" s="412">
        <v>2025</v>
      </c>
      <c r="L21" s="413">
        <v>2026</v>
      </c>
    </row>
    <row r="22" spans="1:12" ht="15.75" customHeight="1">
      <c r="A22" s="14"/>
      <c r="B22" s="310" t="s">
        <v>8</v>
      </c>
      <c r="C22" s="299"/>
      <c r="D22" s="299"/>
      <c r="E22" s="299"/>
      <c r="F22" s="300"/>
      <c r="H22" s="414" t="s">
        <v>147</v>
      </c>
      <c r="I22" s="415"/>
      <c r="J22" s="416">
        <f>D19/D5</f>
        <v>-0.71648405261124959</v>
      </c>
      <c r="K22" s="416">
        <f>E19/E5</f>
        <v>0.20721529080975443</v>
      </c>
      <c r="L22" s="416">
        <f>F19/F5</f>
        <v>0.28203648763250239</v>
      </c>
    </row>
    <row r="23" spans="1:12" ht="13.8">
      <c r="A23" s="14"/>
      <c r="B23" s="311" t="s">
        <v>12</v>
      </c>
      <c r="C23" s="299"/>
      <c r="D23" s="20">
        <v>2024</v>
      </c>
      <c r="E23" s="20">
        <v>2025</v>
      </c>
      <c r="F23" s="21">
        <v>2026</v>
      </c>
      <c r="H23" s="417" t="s">
        <v>148</v>
      </c>
      <c r="I23" s="418"/>
      <c r="J23" s="419">
        <f>D19/SUM(O11:O13)</f>
        <v>-1.2255138116099182</v>
      </c>
      <c r="K23" s="419">
        <f>E19/SUM(P11:P13)</f>
        <v>0.76150546257514651</v>
      </c>
      <c r="L23" s="419">
        <f>F19/SUM(Q11:Q13)</f>
        <v>0.68014149646589028</v>
      </c>
    </row>
    <row r="24" spans="1:12" ht="13.8">
      <c r="A24" s="14"/>
      <c r="B24" s="312" t="s">
        <v>40</v>
      </c>
      <c r="C24" s="313"/>
      <c r="D24" s="134">
        <v>0</v>
      </c>
      <c r="E24" s="5">
        <f>D40</f>
        <v>-2097.0984642857184</v>
      </c>
      <c r="F24" s="17">
        <f>E40</f>
        <v>34735.008901785724</v>
      </c>
      <c r="H24" s="420" t="s">
        <v>149</v>
      </c>
      <c r="I24" s="421"/>
      <c r="J24" s="422">
        <f>D19/J14</f>
        <v>-0.62797538231366967</v>
      </c>
      <c r="K24" s="422">
        <f t="shared" ref="K24:L24" si="4">E19/K14</f>
        <v>0.48251629547512842</v>
      </c>
      <c r="L24" s="422">
        <f t="shared" si="4"/>
        <v>0.51120642145706841</v>
      </c>
    </row>
    <row r="25" spans="1:12" ht="13.8">
      <c r="A25" s="14"/>
      <c r="B25" s="314" t="s">
        <v>89</v>
      </c>
      <c r="C25" s="315"/>
      <c r="D25" s="315"/>
      <c r="E25" s="315"/>
      <c r="F25" s="280"/>
      <c r="I25" s="30"/>
    </row>
    <row r="26" spans="1:12" ht="13.8">
      <c r="A26" s="14"/>
      <c r="B26" s="312" t="s">
        <v>28</v>
      </c>
      <c r="C26" s="313"/>
      <c r="D26" s="5">
        <f>D19</f>
        <v>-9911.980098214286</v>
      </c>
      <c r="E26" s="5">
        <f>E19</f>
        <v>25824.78996428573</v>
      </c>
      <c r="F26" s="17">
        <f>F19</f>
        <v>72111.602464285708</v>
      </c>
      <c r="I26" s="30"/>
    </row>
    <row r="27" spans="1:12" ht="13.8">
      <c r="A27" s="14"/>
      <c r="B27" s="312" t="s">
        <v>41</v>
      </c>
      <c r="C27" s="313"/>
      <c r="D27" s="5">
        <f>D18</f>
        <v>-3303.9933660714287</v>
      </c>
      <c r="E27" s="5">
        <f>E18-D18</f>
        <v>11912.256687500005</v>
      </c>
      <c r="F27" s="17">
        <f>F18-E18</f>
        <v>15428.937499999991</v>
      </c>
      <c r="I27" s="30"/>
    </row>
    <row r="28" spans="1:12" ht="13.8">
      <c r="A28" s="14"/>
      <c r="B28" s="306" t="s">
        <v>11</v>
      </c>
      <c r="C28" s="313"/>
      <c r="D28" s="5">
        <f>D14</f>
        <v>2260.6607142857147</v>
      </c>
      <c r="E28" s="5">
        <f>E14</f>
        <v>3052.0607142857148</v>
      </c>
      <c r="F28" s="17">
        <f>F14</f>
        <v>3052.0607142857148</v>
      </c>
    </row>
    <row r="29" spans="1:12" ht="13.8">
      <c r="A29" s="14"/>
      <c r="B29" s="312" t="s">
        <v>43</v>
      </c>
      <c r="C29" s="313"/>
      <c r="D29" s="97">
        <f>J7</f>
        <v>0</v>
      </c>
      <c r="E29" s="97">
        <f t="shared" ref="E29:F29" si="5">K7</f>
        <v>0</v>
      </c>
      <c r="F29" s="125">
        <f t="shared" si="5"/>
        <v>0</v>
      </c>
    </row>
    <row r="30" spans="1:12" ht="13.8">
      <c r="A30" s="14"/>
      <c r="B30" s="312" t="s">
        <v>42</v>
      </c>
      <c r="C30" s="313"/>
      <c r="D30" s="5">
        <f>O6</f>
        <v>0</v>
      </c>
      <c r="E30" s="5">
        <f t="shared" ref="E30:F30" si="6">P6</f>
        <v>0</v>
      </c>
      <c r="F30" s="130">
        <f t="shared" si="6"/>
        <v>0</v>
      </c>
    </row>
    <row r="31" spans="1:12" ht="13.8">
      <c r="A31" s="14"/>
      <c r="B31" s="316" t="s">
        <v>0</v>
      </c>
      <c r="C31" s="315"/>
      <c r="D31" s="25">
        <f>SUM(D26:D30)</f>
        <v>-10955.312750000001</v>
      </c>
      <c r="E31" s="25">
        <f>SUM(E26:E30)</f>
        <v>40789.107366071446</v>
      </c>
      <c r="F31" s="26">
        <f>SUM(F26:F30)</f>
        <v>90592.600678571413</v>
      </c>
    </row>
    <row r="32" spans="1:12" ht="13.8">
      <c r="A32" s="22"/>
      <c r="B32" s="314" t="s">
        <v>88</v>
      </c>
      <c r="C32" s="315"/>
      <c r="D32" s="315"/>
      <c r="E32" s="315"/>
      <c r="F32" s="280"/>
    </row>
    <row r="33" spans="1:6" ht="13.8">
      <c r="A33" s="22"/>
      <c r="B33" s="312" t="s">
        <v>44</v>
      </c>
      <c r="C33" s="313"/>
      <c r="D33" s="5">
        <f>O9</f>
        <v>11000</v>
      </c>
      <c r="E33" s="134">
        <v>0</v>
      </c>
      <c r="F33" s="135">
        <v>0</v>
      </c>
    </row>
    <row r="34" spans="1:6" ht="13.8">
      <c r="A34" s="23"/>
      <c r="B34" s="312" t="s">
        <v>32</v>
      </c>
      <c r="C34" s="313"/>
      <c r="D34" s="5">
        <f>O11</f>
        <v>12000</v>
      </c>
      <c r="E34" s="134">
        <v>0</v>
      </c>
      <c r="F34" s="135">
        <v>0</v>
      </c>
    </row>
    <row r="35" spans="1:6" ht="13.8">
      <c r="A35" s="23"/>
      <c r="B35" s="317" t="s">
        <v>86</v>
      </c>
      <c r="C35" s="318"/>
      <c r="D35" s="5">
        <f>'IS Calculations'!I9</f>
        <v>6000</v>
      </c>
      <c r="E35" s="134">
        <v>0</v>
      </c>
      <c r="F35" s="135">
        <v>0</v>
      </c>
    </row>
    <row r="36" spans="1:6" ht="15.75" customHeight="1">
      <c r="A36" s="24"/>
      <c r="B36" s="316" t="s">
        <v>0</v>
      </c>
      <c r="C36" s="315"/>
      <c r="D36" s="25">
        <f>SUM(D33:D35)</f>
        <v>29000</v>
      </c>
      <c r="E36" s="25">
        <f t="shared" ref="E36:F36" si="7">SUM(E33:E35)</f>
        <v>0</v>
      </c>
      <c r="F36" s="129">
        <f t="shared" si="7"/>
        <v>0</v>
      </c>
    </row>
    <row r="37" spans="1:6" ht="13.8">
      <c r="A37" s="23"/>
      <c r="B37" s="319" t="s">
        <v>90</v>
      </c>
      <c r="C37" s="320"/>
      <c r="D37" s="320"/>
      <c r="E37" s="320"/>
      <c r="F37" s="321"/>
    </row>
    <row r="38" spans="1:6" ht="13.8">
      <c r="A38" s="23"/>
      <c r="B38" s="322" t="s">
        <v>146</v>
      </c>
      <c r="C38" s="313"/>
      <c r="D38" s="5">
        <f>J11+J12</f>
        <v>20141.785714285717</v>
      </c>
      <c r="E38" s="5">
        <f>K10</f>
        <v>3957</v>
      </c>
      <c r="F38" s="131"/>
    </row>
    <row r="39" spans="1:6" ht="13.8">
      <c r="A39" s="23"/>
      <c r="B39" s="316" t="s">
        <v>0</v>
      </c>
      <c r="C39" s="315"/>
      <c r="D39" s="25">
        <f>-D38</f>
        <v>-20141.785714285717</v>
      </c>
      <c r="E39" s="25">
        <f>-E38</f>
        <v>-3957</v>
      </c>
      <c r="F39" s="132">
        <f>-F38</f>
        <v>0</v>
      </c>
    </row>
    <row r="40" spans="1:6" ht="15.75" customHeight="1">
      <c r="A40" s="24"/>
      <c r="B40" s="309" t="s">
        <v>9</v>
      </c>
      <c r="C40" s="315"/>
      <c r="D40" s="27">
        <f>D24+D31+D36+D39</f>
        <v>-2097.0984642857184</v>
      </c>
      <c r="E40" s="27">
        <f>E24+E31+E36+E39</f>
        <v>34735.008901785724</v>
      </c>
      <c r="F40" s="19">
        <f>F24+F31+F36+F39</f>
        <v>125327.60958035714</v>
      </c>
    </row>
    <row r="41" spans="1:6" ht="13.8">
      <c r="A41" s="23"/>
    </row>
    <row r="42" spans="1:6" ht="13.8">
      <c r="A42" s="23"/>
    </row>
    <row r="43" spans="1:6" ht="13.8">
      <c r="A43" s="23"/>
    </row>
    <row r="44" spans="1:6" ht="13.8">
      <c r="A44" s="22"/>
    </row>
    <row r="45" spans="1:6" ht="13.8">
      <c r="A45" s="22"/>
    </row>
    <row r="47" spans="1:6" ht="13.8">
      <c r="A47" s="28"/>
    </row>
    <row r="48" spans="1:6" ht="13.8">
      <c r="A48" s="22"/>
    </row>
    <row r="49" spans="1:8" ht="13.2">
      <c r="A49" s="2"/>
    </row>
    <row r="50" spans="1:8" ht="13.2">
      <c r="A50" s="2"/>
    </row>
    <row r="51" spans="1:8" ht="13.2">
      <c r="A51" s="2"/>
    </row>
    <row r="52" spans="1:8" ht="13.8">
      <c r="A52" s="2"/>
      <c r="H52" s="28"/>
    </row>
    <row r="53" spans="1:8" ht="15.75" customHeight="1">
      <c r="B53" s="28"/>
      <c r="D53" s="29"/>
      <c r="E53" s="29"/>
      <c r="F53" s="29"/>
    </row>
    <row r="54" spans="1:8" ht="15.75" customHeight="1">
      <c r="B54" s="23"/>
      <c r="D54" s="29"/>
      <c r="E54" s="29"/>
      <c r="F54" s="29"/>
    </row>
    <row r="55" spans="1:8" ht="13.8">
      <c r="A55" s="10"/>
      <c r="B55" s="28"/>
      <c r="D55" s="29"/>
      <c r="E55" s="29"/>
      <c r="F55" s="29"/>
    </row>
    <row r="56" spans="1:8" ht="15.75" customHeight="1">
      <c r="B56" s="22"/>
      <c r="D56" s="29"/>
      <c r="E56" s="29"/>
      <c r="F56" s="29"/>
    </row>
    <row r="57" spans="1:8" ht="13.8">
      <c r="A57" s="28"/>
      <c r="B57" s="28"/>
    </row>
    <row r="58" spans="1:8" ht="13.8">
      <c r="A58" s="23"/>
      <c r="B58" s="22"/>
      <c r="H58" s="23"/>
    </row>
    <row r="59" spans="1:8" ht="13.8">
      <c r="A59" s="28"/>
    </row>
    <row r="60" spans="1:8" ht="13.8">
      <c r="A60" s="22"/>
    </row>
    <row r="61" spans="1:8" ht="13.8">
      <c r="A61" s="28"/>
    </row>
    <row r="62" spans="1:8" ht="13.8">
      <c r="A62" s="22"/>
    </row>
    <row r="64" spans="1:8" ht="13.8">
      <c r="H64" s="28"/>
    </row>
    <row r="66" spans="8:8" ht="13.8">
      <c r="H66" s="28"/>
    </row>
    <row r="69" spans="8:8" ht="13.8">
      <c r="H69" s="22"/>
    </row>
  </sheetData>
  <mergeCells count="74">
    <mergeCell ref="H24:I24"/>
    <mergeCell ref="H21:I21"/>
    <mergeCell ref="H22:I22"/>
    <mergeCell ref="H19:L20"/>
    <mergeCell ref="H23:I23"/>
    <mergeCell ref="O14:O15"/>
    <mergeCell ref="P14:P15"/>
    <mergeCell ref="Q14:Q15"/>
    <mergeCell ref="M11:N11"/>
    <mergeCell ref="B13:C13"/>
    <mergeCell ref="M13:N13"/>
    <mergeCell ref="B10:C10"/>
    <mergeCell ref="H13:I13"/>
    <mergeCell ref="H14:I15"/>
    <mergeCell ref="J14:J15"/>
    <mergeCell ref="K14:K15"/>
    <mergeCell ref="L14:L15"/>
    <mergeCell ref="H12:I12"/>
    <mergeCell ref="B11:C11"/>
    <mergeCell ref="B12:C12"/>
    <mergeCell ref="M10:Q10"/>
    <mergeCell ref="H10:I10"/>
    <mergeCell ref="H11:I11"/>
    <mergeCell ref="M12:N12"/>
    <mergeCell ref="M14:N15"/>
    <mergeCell ref="H9:L9"/>
    <mergeCell ref="B3:C4"/>
    <mergeCell ref="B5:C5"/>
    <mergeCell ref="B8:C8"/>
    <mergeCell ref="B9:C9"/>
    <mergeCell ref="B6:C7"/>
    <mergeCell ref="D6:D7"/>
    <mergeCell ref="E6:E7"/>
    <mergeCell ref="F6:F7"/>
    <mergeCell ref="H7:I8"/>
    <mergeCell ref="M8:Q8"/>
    <mergeCell ref="H4:I4"/>
    <mergeCell ref="M4:N4"/>
    <mergeCell ref="H5:L5"/>
    <mergeCell ref="M5:Q5"/>
    <mergeCell ref="H6:I6"/>
    <mergeCell ref="J7:J8"/>
    <mergeCell ref="K7:K8"/>
    <mergeCell ref="L7:L8"/>
    <mergeCell ref="B2:F2"/>
    <mergeCell ref="H2:Q2"/>
    <mergeCell ref="D3:F3"/>
    <mergeCell ref="H3:L3"/>
    <mergeCell ref="M3:Q3"/>
    <mergeCell ref="B40:C40"/>
    <mergeCell ref="B30:C30"/>
    <mergeCell ref="B31:C31"/>
    <mergeCell ref="B32:F32"/>
    <mergeCell ref="B33:C33"/>
    <mergeCell ref="B34:C34"/>
    <mergeCell ref="B37:F37"/>
    <mergeCell ref="B38:C38"/>
    <mergeCell ref="B39:C39"/>
    <mergeCell ref="B26:C26"/>
    <mergeCell ref="B27:C27"/>
    <mergeCell ref="B28:C28"/>
    <mergeCell ref="B29:C29"/>
    <mergeCell ref="B36:C36"/>
    <mergeCell ref="B35:C35"/>
    <mergeCell ref="B19:C19"/>
    <mergeCell ref="B22:F22"/>
    <mergeCell ref="B23:C23"/>
    <mergeCell ref="B24:C24"/>
    <mergeCell ref="B25:F25"/>
    <mergeCell ref="B14:C14"/>
    <mergeCell ref="B15:C15"/>
    <mergeCell ref="B16:C16"/>
    <mergeCell ref="B17:C17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Proyecciones</vt:lpstr>
      <vt:lpstr>IS Calculations</vt:lpstr>
      <vt:lpstr>Estado Financiero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unipc</dc:creator>
  <cp:lastModifiedBy>Nicolás Martín Schenone</cp:lastModifiedBy>
  <dcterms:created xsi:type="dcterms:W3CDTF">2024-03-15T13:16:02Z</dcterms:created>
  <dcterms:modified xsi:type="dcterms:W3CDTF">2024-03-16T13:53:33Z</dcterms:modified>
</cp:coreProperties>
</file>